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autoCompressPictures="0" defaultThemeVersion="124226"/>
  <mc:AlternateContent xmlns:mc="http://schemas.openxmlformats.org/markup-compatibility/2006">
    <mc:Choice Requires="x15">
      <x15ac:absPath xmlns:x15ac="http://schemas.microsoft.com/office/spreadsheetml/2010/11/ac" url="https://d.docs.live.net/d5d5170efd4f85cb/Documents/Model Railroading/HUB/cpNode Signaling Testbench/"/>
    </mc:Choice>
  </mc:AlternateContent>
  <xr:revisionPtr revIDLastSave="2029" documentId="13_ncr:1_{BB597A57-DC03-9445-A5D2-2E2D34FF41E4}" xr6:coauthVersionLast="46" xr6:coauthVersionMax="46" xr10:uidLastSave="{AD6308BE-762D-C845-8ADB-E0F979CE90BA}"/>
  <bookViews>
    <workbookView xWindow="86900" yWindow="500" windowWidth="66700" windowHeight="42700" activeTab="7" xr2:uid="{00000000-000D-0000-FFFF-FFFF00000000}"/>
  </bookViews>
  <sheets>
    <sheet name="IO Analysis" sheetId="10" r:id="rId1"/>
    <sheet name="System Parameters" sheetId="12" r:id="rId2"/>
    <sheet name="Node 1" sheetId="4" r:id="rId3"/>
    <sheet name="Node 2" sheetId="5" r:id="rId4"/>
    <sheet name="Node 3" sheetId="13" r:id="rId5"/>
    <sheet name="Node 4" sheetId="14" r:id="rId6"/>
    <sheet name="Node 5" sheetId="15" r:id="rId7"/>
    <sheet name="Node 6" sheetId="6" r:id="rId8"/>
    <sheet name="System Module-Node Mapping" sheetId="11" r:id="rId9"/>
    <sheet name="Node Device Pin Config" sheetId="2" r:id="rId10"/>
    <sheet name="Node JMRI Pin Config" sheetId="3" r:id="rId11"/>
    <sheet name="BUS MAPPING" sheetId="16" r:id="rId12"/>
  </sheets>
  <definedNames>
    <definedName name="_xlnm._FilterDatabase" localSheetId="1" hidden="1">'System Parameters'!$B$13:$D$43</definedName>
    <definedName name="BaseNodeConfigurations">'Node Device Pin Config'!$A$4:$A$13</definedName>
    <definedName name="BaseNodeIOTable">'Node Device Pin Config'!$A$4:$C$13</definedName>
    <definedName name="CMRINET_BAUD_RATE">'System Parameters'!$AK$9</definedName>
    <definedName name="cpNode_Addresses">'System Parameters'!$R$13:$R$18</definedName>
    <definedName name="DCC_Decoders">'System Parameters'!$X$9:$X$29</definedName>
    <definedName name="DCCAddresses">'System Parameters'!$V$9:$V$17</definedName>
    <definedName name="IN_TYPES">'System Parameters'!$J$3:$K$7</definedName>
    <definedName name="IOXConfigurations">'Node Device Pin Config'!$A$14:$A$58</definedName>
    <definedName name="IOXJumperConfiguration">'System Parameters'!$Z$10:$AD$21</definedName>
    <definedName name="IOXNodeIOTable">'Node Device Pin Config'!$A$14:$C$58</definedName>
    <definedName name="IOXSketchTable">'System Parameters'!$AF$10:$AH$53</definedName>
    <definedName name="JMRI_STATE">'System Parameters'!$H$3:$H$4</definedName>
    <definedName name="JMRI_TURNOUT">'System Parameters'!$H$3:$H$4</definedName>
    <definedName name="MODULE_TABLE">'System Parameters'!$U$9:$V$17</definedName>
    <definedName name="Module1Nodes">'Node 1'!$D$6:$D$14</definedName>
    <definedName name="Module2Nodes">'Node 2'!$D$6:$D$14</definedName>
    <definedName name="Module3Nodes">'Node 3'!$D$6:$D$14</definedName>
    <definedName name="Module4Nodes">'Node 4'!$D$6:$D$14</definedName>
    <definedName name="Module5Nodes">'Node 5'!$D$6:$D$14</definedName>
    <definedName name="Module6Nodes">'Node 6'!$D$6:$D$6</definedName>
    <definedName name="NODE_TABLE">'System Parameters'!$Q$13:$S$18</definedName>
    <definedName name="NODE1_TABLE">'Node 1'!$B$17:$O$160</definedName>
    <definedName name="NODE2_TABLE">'Node 2'!$B$17:$P$160</definedName>
    <definedName name="NODE3_TABLE">'Node 3'!$B$17:$P$160</definedName>
    <definedName name="NODE4_TABLE">'Node 4'!$B$17:$P$160</definedName>
    <definedName name="NODE5_TABLE">'Node 5'!$B$17:$P$160</definedName>
    <definedName name="NODE6_TABLE">'Node 6'!$B$17:$P$88</definedName>
    <definedName name="nodeDevicePinConfigList">'Node Device Pin Config'!$A$4:$A$58</definedName>
    <definedName name="nodeDevicePinConfigTable">'Node Device Pin Config'!$A$4:$BW$58</definedName>
    <definedName name="nodeJMRIPinConfigList">'Node JMRI Pin Config'!$A$4:$A$58</definedName>
    <definedName name="nodeJMRIPinConfigTable">'Node JMRI Pin Config'!$A$4:$BW$58</definedName>
    <definedName name="OBJECT_TYPES">'System Parameters'!$K$3:$K$11</definedName>
    <definedName name="OUT_TYPES">'System Parameters'!$J$9:$K$14</definedName>
    <definedName name="PCB_PIN_NAMES">'System Parameters'!$C$2:$C$37</definedName>
    <definedName name="PCB_PIN_TABLE">'System Parameters'!$C$2:$D$43</definedName>
    <definedName name="PCB_PINS">'System Parameters'!$D$2:$D$37</definedName>
    <definedName name="_xlnm.Print_Area" localSheetId="2">'Node 1'!$B$2:$N$32</definedName>
    <definedName name="_xlnm.Print_Area" localSheetId="3">'Node 2'!$B$2:$N$32</definedName>
    <definedName name="_xlnm.Print_Area" localSheetId="7">'Node 6'!$B$2:$N$64</definedName>
    <definedName name="_xlnm.Print_Area" localSheetId="8">'System Module-Node Mapping'!$A$1:$M$172</definedName>
    <definedName name="SMINIConfiguration">'Node Device Pin Config'!$A$13</definedName>
    <definedName name="SMINIJMRITable">'Node JMRI Pin Config'!$A$13:$BW$13</definedName>
    <definedName name="SMINIPinTable">'Node Device Pin Config'!$A$13:$BW$13</definedName>
    <definedName name="SMINISW2">'System Parameters'!$AP$10:$AR$14</definedName>
    <definedName name="VALID_DIR">'System Parameters'!$A$2:$A$3</definedName>
    <definedName name="VALID_MODULES">'System Parameters'!$U$9:$U$17</definedName>
    <definedName name="VALID_NODES">'System Parameters'!$Q$13:$Q$18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15" l="1"/>
  <c r="E21" i="15"/>
  <c r="E23" i="6"/>
  <c r="E24" i="6"/>
  <c r="E22" i="6"/>
  <c r="E21" i="6"/>
  <c r="E22" i="14"/>
  <c r="E21" i="14"/>
  <c r="E21" i="13"/>
  <c r="E20" i="13"/>
  <c r="E46" i="15"/>
  <c r="E49" i="13"/>
  <c r="E160" i="5" l="1"/>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0" i="13" l="1"/>
  <c r="E159" i="13"/>
  <c r="E158" i="13"/>
  <c r="E157" i="13"/>
  <c r="E156" i="13"/>
  <c r="E155" i="13"/>
  <c r="E154" i="13"/>
  <c r="E153" i="13"/>
  <c r="E152" i="13"/>
  <c r="E151" i="13"/>
  <c r="E150" i="13"/>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19" i="13"/>
  <c r="E18" i="13"/>
  <c r="E17" i="13"/>
  <c r="E160" i="15"/>
  <c r="E159" i="15"/>
  <c r="E158" i="15"/>
  <c r="E157" i="15"/>
  <c r="E156" i="15"/>
  <c r="E155" i="15"/>
  <c r="E154" i="15"/>
  <c r="E153" i="15"/>
  <c r="E152" i="15"/>
  <c r="E151" i="15"/>
  <c r="E150" i="15"/>
  <c r="E149" i="15"/>
  <c r="E148" i="15"/>
  <c r="E147" i="15"/>
  <c r="E146" i="15"/>
  <c r="E145" i="15"/>
  <c r="E144" i="15"/>
  <c r="E143" i="15"/>
  <c r="E142" i="15"/>
  <c r="E141" i="15"/>
  <c r="E140" i="15"/>
  <c r="E139" i="15"/>
  <c r="E138" i="15"/>
  <c r="E137" i="15"/>
  <c r="E136" i="15"/>
  <c r="E135" i="15"/>
  <c r="E134" i="15"/>
  <c r="E133" i="15"/>
  <c r="E132" i="15"/>
  <c r="E131" i="15"/>
  <c r="E130" i="15"/>
  <c r="E129" i="15"/>
  <c r="E128" i="15"/>
  <c r="E127" i="15"/>
  <c r="E126" i="15"/>
  <c r="E125" i="15"/>
  <c r="E124" i="15"/>
  <c r="E123" i="15"/>
  <c r="E122" i="15"/>
  <c r="E121" i="15"/>
  <c r="E120" i="15"/>
  <c r="E119" i="15"/>
  <c r="E118" i="15"/>
  <c r="E117" i="15"/>
  <c r="E116" i="15"/>
  <c r="E115" i="15"/>
  <c r="E114" i="15"/>
  <c r="E113" i="15"/>
  <c r="E112" i="15"/>
  <c r="E111" i="15"/>
  <c r="E110" i="15"/>
  <c r="E109" i="15"/>
  <c r="E108" i="15"/>
  <c r="E107" i="15"/>
  <c r="E106" i="15"/>
  <c r="E105" i="15"/>
  <c r="E104" i="15"/>
  <c r="E103" i="15"/>
  <c r="E102" i="15"/>
  <c r="E101" i="15"/>
  <c r="E100" i="15"/>
  <c r="E99" i="15"/>
  <c r="E98"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5" i="15"/>
  <c r="E44" i="15"/>
  <c r="E43" i="15"/>
  <c r="E42" i="15"/>
  <c r="E41" i="15"/>
  <c r="E40" i="15"/>
  <c r="E39" i="15"/>
  <c r="E38" i="15"/>
  <c r="E37" i="15"/>
  <c r="E36" i="15"/>
  <c r="E35" i="15"/>
  <c r="E34" i="15"/>
  <c r="E33" i="15"/>
  <c r="E32" i="15"/>
  <c r="E31" i="15"/>
  <c r="E30" i="15"/>
  <c r="E29" i="15"/>
  <c r="E28" i="15"/>
  <c r="E27" i="15"/>
  <c r="E26" i="15"/>
  <c r="E25" i="15"/>
  <c r="E24" i="15"/>
  <c r="E23" i="15"/>
  <c r="E20" i="15"/>
  <c r="E19" i="15"/>
  <c r="E18" i="15"/>
  <c r="E17" i="1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0" i="6"/>
  <c r="E19" i="6"/>
  <c r="E18" i="6"/>
  <c r="E17" i="6"/>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0" i="14"/>
  <c r="E19" i="14"/>
  <c r="E18" i="14"/>
  <c r="E17" i="14"/>
  <c r="C14" i="10" l="1"/>
  <c r="B14" i="10"/>
  <c r="P6" i="6" l="1"/>
  <c r="P7" i="6"/>
  <c r="P8" i="6"/>
  <c r="P9" i="6"/>
  <c r="P10" i="6"/>
  <c r="P11" i="6"/>
  <c r="P12" i="6"/>
  <c r="K16" i="10" l="1"/>
  <c r="P12" i="4"/>
  <c r="P12" i="5"/>
  <c r="P11" i="5"/>
  <c r="P10" i="5"/>
  <c r="P9" i="5"/>
  <c r="P8" i="5"/>
  <c r="P7" i="5"/>
  <c r="P6" i="5"/>
  <c r="P13" i="5" l="1"/>
  <c r="K8" i="10"/>
  <c r="P13" i="6"/>
  <c r="R7" i="10"/>
  <c r="Q14" i="10"/>
  <c r="Q12" i="10"/>
  <c r="Q10" i="10"/>
  <c r="Q8" i="10"/>
  <c r="Q6" i="10"/>
  <c r="R15" i="10"/>
  <c r="R13" i="10"/>
  <c r="R11" i="10"/>
  <c r="B213" i="11"/>
  <c r="B214" i="11" s="1"/>
  <c r="AY9" i="12"/>
  <c r="AY8" i="12"/>
  <c r="AY7" i="12"/>
  <c r="AY6" i="12"/>
  <c r="AY5" i="12"/>
  <c r="AY4" i="12"/>
  <c r="AY3" i="12"/>
  <c r="AX9" i="12"/>
  <c r="AX8" i="12"/>
  <c r="AX7" i="12"/>
  <c r="AX6" i="12"/>
  <c r="AX5" i="12"/>
  <c r="AX4" i="12"/>
  <c r="AX3" i="12"/>
  <c r="AU9" i="12"/>
  <c r="AU8" i="12"/>
  <c r="AU7" i="12"/>
  <c r="AU6" i="12"/>
  <c r="AU5" i="12"/>
  <c r="AU4" i="12"/>
  <c r="AU3" i="12"/>
  <c r="AW9" i="12"/>
  <c r="AW8" i="12"/>
  <c r="AW7" i="12"/>
  <c r="AW6" i="12"/>
  <c r="AW5" i="12"/>
  <c r="AW4" i="12"/>
  <c r="AW3" i="12"/>
  <c r="AW10" i="12" l="1"/>
  <c r="AX10" i="12"/>
  <c r="AY10" i="12"/>
  <c r="B215" i="11"/>
  <c r="B216" i="11" l="1"/>
  <c r="B217" i="11" l="1"/>
  <c r="B218" i="11" l="1"/>
  <c r="B219" i="11" l="1"/>
  <c r="B220" i="11" l="1"/>
  <c r="B221" i="11" l="1"/>
  <c r="B222" i="11" l="1"/>
  <c r="B223" i="11" l="1"/>
  <c r="B224" i="11" l="1"/>
  <c r="B225" i="11" l="1"/>
  <c r="B226" i="11" l="1"/>
  <c r="B227" i="11" l="1"/>
  <c r="B228" i="11" l="1"/>
  <c r="B229" i="11" l="1"/>
  <c r="B230" i="11" l="1"/>
  <c r="B231" i="11" l="1"/>
  <c r="B232" i="11" l="1"/>
  <c r="B233" i="11" l="1"/>
  <c r="B234" i="11" l="1"/>
  <c r="B235" i="11" l="1"/>
  <c r="B236" i="11" l="1"/>
  <c r="B237" i="11" l="1"/>
  <c r="B238" i="11" l="1"/>
  <c r="B239" i="11" l="1"/>
  <c r="B240" i="11" l="1"/>
  <c r="B241" i="11" l="1"/>
  <c r="B242" i="11" l="1"/>
  <c r="B243" i="11" l="1"/>
  <c r="B244" i="11" l="1"/>
  <c r="B245" i="11" l="1"/>
  <c r="B246" i="11" l="1"/>
  <c r="B247" i="11" l="1"/>
  <c r="B248" i="11" l="1"/>
  <c r="B249" i="11" l="1"/>
  <c r="B250" i="11" l="1"/>
  <c r="B251" i="11" l="1"/>
  <c r="B252" i="11" l="1"/>
  <c r="B253" i="11" l="1"/>
  <c r="B254" i="11" l="1"/>
  <c r="B255" i="11" l="1"/>
  <c r="B256" i="11" l="1"/>
  <c r="B257" i="11" l="1"/>
  <c r="B258" i="11" l="1"/>
  <c r="B259" i="11" l="1"/>
  <c r="B260" i="11" l="1"/>
  <c r="B261" i="11" l="1"/>
  <c r="B262" i="11" l="1"/>
  <c r="B263" i="11" l="1"/>
  <c r="B264" i="11" l="1"/>
  <c r="B265" i="11" l="1"/>
  <c r="B266" i="11" l="1"/>
  <c r="B267" i="11" l="1"/>
  <c r="B268" i="11" l="1"/>
  <c r="I160" i="4" l="1"/>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J130" i="4"/>
  <c r="J131" i="4" s="1"/>
  <c r="I130" i="4"/>
  <c r="L129" i="4"/>
  <c r="K129"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J98" i="4"/>
  <c r="J99" i="4" s="1"/>
  <c r="I98" i="4"/>
  <c r="L97" i="4"/>
  <c r="K97"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J66" i="4"/>
  <c r="K66" i="4" s="1"/>
  <c r="I66" i="4"/>
  <c r="L65" i="4"/>
  <c r="K65" i="4"/>
  <c r="I65" i="4"/>
  <c r="J33" i="4"/>
  <c r="J34" i="4" s="1"/>
  <c r="S18" i="12"/>
  <c r="S17" i="12"/>
  <c r="S16" i="12"/>
  <c r="S15" i="12"/>
  <c r="I20" i="4"/>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J130" i="15"/>
  <c r="J131" i="15" s="1"/>
  <c r="I130" i="15"/>
  <c r="L129" i="15"/>
  <c r="K129"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J99" i="15"/>
  <c r="J100" i="15" s="1"/>
  <c r="I99" i="15"/>
  <c r="J98" i="15"/>
  <c r="L98" i="15" s="1"/>
  <c r="I98" i="15"/>
  <c r="L97" i="15"/>
  <c r="K97" i="15"/>
  <c r="I97" i="15"/>
  <c r="I96" i="15"/>
  <c r="I95" i="15"/>
  <c r="I94" i="15"/>
  <c r="I93" i="15"/>
  <c r="I92" i="15"/>
  <c r="I91" i="15"/>
  <c r="I90" i="15"/>
  <c r="I89" i="15"/>
  <c r="I88" i="15"/>
  <c r="I87" i="15"/>
  <c r="I86" i="15"/>
  <c r="I85" i="15"/>
  <c r="I84" i="15"/>
  <c r="I83" i="15"/>
  <c r="I82" i="15"/>
  <c r="I81" i="15"/>
  <c r="I80" i="15"/>
  <c r="I79" i="15"/>
  <c r="I78" i="15"/>
  <c r="I77" i="15"/>
  <c r="I76" i="15"/>
  <c r="I75" i="15"/>
  <c r="I74" i="15"/>
  <c r="I73" i="15"/>
  <c r="I72" i="15"/>
  <c r="I71" i="15"/>
  <c r="I70" i="15"/>
  <c r="I69" i="15"/>
  <c r="I68" i="15"/>
  <c r="I67" i="15"/>
  <c r="J66" i="15"/>
  <c r="K66" i="15" s="1"/>
  <c r="I66" i="15"/>
  <c r="L65" i="15"/>
  <c r="K65" i="15"/>
  <c r="I65" i="15"/>
  <c r="I64" i="15"/>
  <c r="I63" i="15"/>
  <c r="I62" i="15"/>
  <c r="I61" i="15"/>
  <c r="I60" i="15"/>
  <c r="I59" i="15"/>
  <c r="I58" i="15"/>
  <c r="I57" i="15"/>
  <c r="I56" i="15"/>
  <c r="I55" i="15"/>
  <c r="I54" i="15"/>
  <c r="I53" i="15"/>
  <c r="I52" i="15"/>
  <c r="I51" i="15"/>
  <c r="I50" i="15"/>
  <c r="I49" i="15"/>
  <c r="I48" i="15"/>
  <c r="I47" i="15"/>
  <c r="I46" i="15"/>
  <c r="I45" i="15"/>
  <c r="I44" i="15"/>
  <c r="I43" i="15"/>
  <c r="I42" i="15"/>
  <c r="I41" i="15"/>
  <c r="I40" i="15"/>
  <c r="I39" i="15"/>
  <c r="I38" i="15"/>
  <c r="I37" i="15"/>
  <c r="I36" i="15"/>
  <c r="I35" i="15"/>
  <c r="I34" i="15"/>
  <c r="J33" i="15"/>
  <c r="I33" i="15"/>
  <c r="I32" i="15"/>
  <c r="I31" i="15"/>
  <c r="I30" i="15"/>
  <c r="I29" i="15"/>
  <c r="I28" i="15"/>
  <c r="I27" i="15"/>
  <c r="I26" i="15"/>
  <c r="I25" i="15"/>
  <c r="I24" i="15"/>
  <c r="I23" i="15"/>
  <c r="I22" i="15"/>
  <c r="I21" i="15"/>
  <c r="I20" i="15"/>
  <c r="I19" i="15"/>
  <c r="I18" i="15"/>
  <c r="J17" i="15"/>
  <c r="J18" i="15" s="1"/>
  <c r="I17" i="15"/>
  <c r="L14" i="15"/>
  <c r="I14" i="15" s="1"/>
  <c r="F14" i="15"/>
  <c r="E14" i="15"/>
  <c r="L13" i="15"/>
  <c r="K13" i="15" s="1"/>
  <c r="J13" i="15"/>
  <c r="F13" i="15"/>
  <c r="E13" i="15"/>
  <c r="P12" i="15"/>
  <c r="L12" i="15"/>
  <c r="K12" i="15" s="1"/>
  <c r="F12" i="15"/>
  <c r="E12" i="15"/>
  <c r="P11" i="15"/>
  <c r="L11" i="15"/>
  <c r="K11" i="15" s="1"/>
  <c r="F11" i="15"/>
  <c r="E11" i="15"/>
  <c r="W10" i="15"/>
  <c r="U10" i="15"/>
  <c r="R10" i="15"/>
  <c r="Q10" i="15"/>
  <c r="S10" i="15" s="1"/>
  <c r="P10" i="15"/>
  <c r="M10" i="15"/>
  <c r="L10" i="15"/>
  <c r="H10" i="15" s="1"/>
  <c r="F10" i="15"/>
  <c r="E10" i="15"/>
  <c r="W9" i="15"/>
  <c r="V9" i="15"/>
  <c r="U9" i="15"/>
  <c r="R9" i="15"/>
  <c r="Q9" i="15"/>
  <c r="S9" i="15" s="1"/>
  <c r="P9" i="15"/>
  <c r="M9" i="15"/>
  <c r="L9" i="15"/>
  <c r="H9" i="15" s="1"/>
  <c r="F9" i="15"/>
  <c r="E9" i="15"/>
  <c r="W8" i="15"/>
  <c r="U8" i="15"/>
  <c r="R8" i="15"/>
  <c r="Q8" i="15"/>
  <c r="S8" i="15" s="1"/>
  <c r="P8" i="15"/>
  <c r="M8" i="15"/>
  <c r="L8" i="15"/>
  <c r="F8" i="15"/>
  <c r="E8" i="15"/>
  <c r="W7" i="15"/>
  <c r="V7" i="15"/>
  <c r="U7" i="15"/>
  <c r="R7" i="15"/>
  <c r="Q7" i="15"/>
  <c r="P7" i="15"/>
  <c r="L7" i="15"/>
  <c r="K7" i="15" s="1"/>
  <c r="F7" i="15"/>
  <c r="E7" i="15"/>
  <c r="W6" i="15"/>
  <c r="U6" i="15"/>
  <c r="R6" i="15"/>
  <c r="Q6" i="15"/>
  <c r="S6" i="15" s="1"/>
  <c r="P6" i="15"/>
  <c r="F6" i="15"/>
  <c r="B6" i="15"/>
  <c r="W5" i="15"/>
  <c r="V5" i="15"/>
  <c r="U5" i="15"/>
  <c r="R5" i="15"/>
  <c r="Q5" i="15"/>
  <c r="S5" i="15" s="1"/>
  <c r="H5" i="15"/>
  <c r="W4" i="15"/>
  <c r="U4" i="15"/>
  <c r="R4" i="15"/>
  <c r="Q4" i="15"/>
  <c r="S4" i="15" s="1"/>
  <c r="D4" i="15"/>
  <c r="D5" i="15" s="1"/>
  <c r="W3" i="15"/>
  <c r="V3" i="15"/>
  <c r="U3" i="15"/>
  <c r="H3" i="15"/>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J130" i="14"/>
  <c r="J131" i="14" s="1"/>
  <c r="I130" i="14"/>
  <c r="L129" i="14"/>
  <c r="K129"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J98" i="14"/>
  <c r="L98" i="14" s="1"/>
  <c r="I98" i="14"/>
  <c r="L97" i="14"/>
  <c r="K97"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J66" i="14"/>
  <c r="K66" i="14" s="1"/>
  <c r="I66" i="14"/>
  <c r="L65" i="14"/>
  <c r="K65"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J33" i="14"/>
  <c r="L33" i="14" s="1"/>
  <c r="I33" i="14"/>
  <c r="I32" i="14"/>
  <c r="I31" i="14"/>
  <c r="I30" i="14"/>
  <c r="I29" i="14"/>
  <c r="I28" i="14"/>
  <c r="I27" i="14"/>
  <c r="I26" i="14"/>
  <c r="I25" i="14"/>
  <c r="I24" i="14"/>
  <c r="I23" i="14"/>
  <c r="I22" i="14"/>
  <c r="I21" i="14"/>
  <c r="I20" i="14"/>
  <c r="I19" i="14"/>
  <c r="I18" i="14"/>
  <c r="J17" i="14"/>
  <c r="J18" i="14" s="1"/>
  <c r="I17" i="14"/>
  <c r="L14" i="14"/>
  <c r="I14" i="14" s="1"/>
  <c r="F14" i="14"/>
  <c r="E14" i="14"/>
  <c r="L13" i="14"/>
  <c r="K13" i="14" s="1"/>
  <c r="F13" i="14"/>
  <c r="E13" i="14"/>
  <c r="P12" i="14"/>
  <c r="L12" i="14"/>
  <c r="K12" i="14" s="1"/>
  <c r="F12" i="14"/>
  <c r="E12" i="14"/>
  <c r="P11" i="14"/>
  <c r="L11" i="14"/>
  <c r="K11" i="14" s="1"/>
  <c r="F11" i="14"/>
  <c r="E11" i="14"/>
  <c r="W10" i="14"/>
  <c r="U10" i="14"/>
  <c r="R10" i="14"/>
  <c r="Q10" i="14"/>
  <c r="S10" i="14" s="1"/>
  <c r="P10" i="14"/>
  <c r="M10" i="14"/>
  <c r="L10" i="14"/>
  <c r="K10" i="14" s="1"/>
  <c r="F10" i="14"/>
  <c r="E10" i="14"/>
  <c r="W9" i="14"/>
  <c r="V9" i="14"/>
  <c r="U9" i="14"/>
  <c r="R9" i="14"/>
  <c r="Q9" i="14"/>
  <c r="S9" i="14" s="1"/>
  <c r="P9" i="14"/>
  <c r="M9" i="14"/>
  <c r="L9" i="14"/>
  <c r="H9" i="14" s="1"/>
  <c r="F9" i="14"/>
  <c r="E9" i="14"/>
  <c r="W8" i="14"/>
  <c r="U8" i="14"/>
  <c r="R8" i="14"/>
  <c r="Q8" i="14"/>
  <c r="S8" i="14" s="1"/>
  <c r="P8" i="14"/>
  <c r="M8" i="14"/>
  <c r="L8" i="14"/>
  <c r="K8" i="14" s="1"/>
  <c r="F8" i="14"/>
  <c r="E8" i="14"/>
  <c r="W7" i="14"/>
  <c r="V7" i="14"/>
  <c r="U7" i="14"/>
  <c r="R7" i="14"/>
  <c r="Q7" i="14"/>
  <c r="S7" i="14" s="1"/>
  <c r="P7" i="14"/>
  <c r="L7" i="14"/>
  <c r="H7" i="14" s="1"/>
  <c r="J7" i="14"/>
  <c r="F7" i="14"/>
  <c r="E7" i="14"/>
  <c r="W6" i="14"/>
  <c r="U6" i="14"/>
  <c r="R6" i="14"/>
  <c r="Q6" i="14"/>
  <c r="S6" i="14" s="1"/>
  <c r="P6" i="14"/>
  <c r="F6" i="14"/>
  <c r="B6" i="14"/>
  <c r="W5" i="14"/>
  <c r="V5" i="14"/>
  <c r="U5" i="14"/>
  <c r="R5" i="14"/>
  <c r="Q5" i="14"/>
  <c r="S5" i="14" s="1"/>
  <c r="H5" i="14"/>
  <c r="W4" i="14"/>
  <c r="U4" i="14"/>
  <c r="R4" i="14"/>
  <c r="Q4" i="14"/>
  <c r="S4" i="14" s="1"/>
  <c r="D4" i="14"/>
  <c r="D5" i="14" s="1"/>
  <c r="W3" i="14"/>
  <c r="V3" i="14"/>
  <c r="U3" i="14"/>
  <c r="H3" i="14"/>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J130" i="13"/>
  <c r="I130" i="13"/>
  <c r="L129" i="13"/>
  <c r="K129"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J98" i="13"/>
  <c r="K98" i="13" s="1"/>
  <c r="I98" i="13"/>
  <c r="L97" i="13"/>
  <c r="K97"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J66" i="13"/>
  <c r="I66" i="13"/>
  <c r="L65" i="13"/>
  <c r="K65"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J33" i="13"/>
  <c r="L33" i="13" s="1"/>
  <c r="I33" i="13"/>
  <c r="I32" i="13"/>
  <c r="I31" i="13"/>
  <c r="I30" i="13"/>
  <c r="I29" i="13"/>
  <c r="I28" i="13"/>
  <c r="I27" i="13"/>
  <c r="I26" i="13"/>
  <c r="I25" i="13"/>
  <c r="I24" i="13"/>
  <c r="I23" i="13"/>
  <c r="I22" i="13"/>
  <c r="I21" i="13"/>
  <c r="I20" i="13"/>
  <c r="I19" i="13"/>
  <c r="I18" i="13"/>
  <c r="J17" i="13"/>
  <c r="J18" i="13" s="1"/>
  <c r="I17" i="13"/>
  <c r="L14" i="13"/>
  <c r="I14" i="13" s="1"/>
  <c r="F14" i="13"/>
  <c r="E14" i="13"/>
  <c r="L13" i="13"/>
  <c r="K13" i="13" s="1"/>
  <c r="F13" i="13"/>
  <c r="E13" i="13"/>
  <c r="P12" i="13"/>
  <c r="L12" i="13"/>
  <c r="K12" i="13" s="1"/>
  <c r="F12" i="13"/>
  <c r="E12" i="13"/>
  <c r="P11" i="13"/>
  <c r="L11" i="13"/>
  <c r="J11" i="13" s="1"/>
  <c r="F11" i="13"/>
  <c r="E11" i="13"/>
  <c r="W10" i="13"/>
  <c r="U10" i="13"/>
  <c r="R10" i="13"/>
  <c r="Q10" i="13"/>
  <c r="S10" i="13" s="1"/>
  <c r="P10" i="13"/>
  <c r="M10" i="13"/>
  <c r="L10" i="13"/>
  <c r="H10" i="13" s="1"/>
  <c r="F10" i="13"/>
  <c r="E10" i="13"/>
  <c r="W9" i="13"/>
  <c r="V9" i="13"/>
  <c r="U9" i="13"/>
  <c r="R9" i="13"/>
  <c r="Q9" i="13"/>
  <c r="S9" i="13" s="1"/>
  <c r="P9" i="13"/>
  <c r="M9" i="13"/>
  <c r="L9" i="13"/>
  <c r="H9" i="13" s="1"/>
  <c r="F9" i="13"/>
  <c r="E9" i="13"/>
  <c r="W8" i="13"/>
  <c r="U8" i="13"/>
  <c r="R8" i="13"/>
  <c r="Q8" i="13"/>
  <c r="S8" i="13" s="1"/>
  <c r="P8" i="13"/>
  <c r="M8" i="13"/>
  <c r="L8" i="13"/>
  <c r="K8" i="13" s="1"/>
  <c r="F8" i="13"/>
  <c r="E8" i="13"/>
  <c r="W7" i="13"/>
  <c r="V7" i="13"/>
  <c r="U7" i="13"/>
  <c r="R7" i="13"/>
  <c r="Q7" i="13"/>
  <c r="P7" i="13"/>
  <c r="L7" i="13"/>
  <c r="K7" i="13" s="1"/>
  <c r="F7" i="13"/>
  <c r="E7" i="13"/>
  <c r="W6" i="13"/>
  <c r="U6" i="13"/>
  <c r="R6" i="13"/>
  <c r="Q6" i="13"/>
  <c r="S6" i="13" s="1"/>
  <c r="P6" i="13"/>
  <c r="F6" i="13"/>
  <c r="B6" i="13"/>
  <c r="W5" i="13"/>
  <c r="V5" i="13"/>
  <c r="U5" i="13"/>
  <c r="R5" i="13"/>
  <c r="Q5" i="13"/>
  <c r="S5" i="13" s="1"/>
  <c r="H5" i="13"/>
  <c r="W4" i="13"/>
  <c r="U4" i="13"/>
  <c r="R4" i="13"/>
  <c r="Q4" i="13"/>
  <c r="S4" i="13" s="1"/>
  <c r="D4" i="13"/>
  <c r="D5" i="13" s="1"/>
  <c r="H4" i="13" s="1"/>
  <c r="W3" i="13"/>
  <c r="V3" i="13"/>
  <c r="U3" i="13"/>
  <c r="H3" i="13"/>
  <c r="M15" i="10"/>
  <c r="P15" i="10" s="1"/>
  <c r="L15" i="10"/>
  <c r="O15" i="10" s="1"/>
  <c r="M14" i="10"/>
  <c r="P14" i="10" s="1"/>
  <c r="L14" i="10"/>
  <c r="M13" i="10"/>
  <c r="P13" i="10" s="1"/>
  <c r="L13" i="10"/>
  <c r="O13" i="10" s="1"/>
  <c r="M12" i="10"/>
  <c r="P12" i="10" s="1"/>
  <c r="L12" i="10"/>
  <c r="O12" i="10" s="1"/>
  <c r="M11" i="10"/>
  <c r="P11" i="10" s="1"/>
  <c r="L11" i="10"/>
  <c r="O11" i="10" s="1"/>
  <c r="M10" i="10"/>
  <c r="P10" i="10" s="1"/>
  <c r="L10" i="10"/>
  <c r="O10" i="10" s="1"/>
  <c r="H261" i="11"/>
  <c r="H221" i="11"/>
  <c r="F232" i="11"/>
  <c r="D221" i="11"/>
  <c r="L217" i="11"/>
  <c r="E219" i="11"/>
  <c r="C255" i="11"/>
  <c r="L233" i="11"/>
  <c r="D213" i="11"/>
  <c r="L238" i="11"/>
  <c r="E260" i="11"/>
  <c r="H257" i="11"/>
  <c r="C229" i="11"/>
  <c r="F219" i="11"/>
  <c r="C243" i="11"/>
  <c r="C249" i="11"/>
  <c r="H248" i="11"/>
  <c r="C259" i="11"/>
  <c r="D220" i="11"/>
  <c r="F216" i="11"/>
  <c r="D224" i="11"/>
  <c r="E240" i="11"/>
  <c r="D233" i="11"/>
  <c r="E247" i="11"/>
  <c r="F251" i="11"/>
  <c r="D215" i="11"/>
  <c r="F225" i="11"/>
  <c r="D223" i="11"/>
  <c r="E237" i="11"/>
  <c r="F256" i="11"/>
  <c r="D236" i="11"/>
  <c r="E217" i="11"/>
  <c r="F224" i="11"/>
  <c r="H238" i="11"/>
  <c r="E214" i="11"/>
  <c r="E230" i="11"/>
  <c r="H268" i="11"/>
  <c r="E244" i="11"/>
  <c r="H245" i="11"/>
  <c r="H241" i="11"/>
  <c r="E228" i="11"/>
  <c r="F218" i="11"/>
  <c r="E231" i="11"/>
  <c r="E233" i="11"/>
  <c r="H214" i="11"/>
  <c r="C264" i="11"/>
  <c r="F263" i="11"/>
  <c r="D235" i="11"/>
  <c r="E216" i="11"/>
  <c r="D253" i="11"/>
  <c r="L235" i="11"/>
  <c r="E232" i="11"/>
  <c r="H267" i="11"/>
  <c r="L215" i="11"/>
  <c r="E215" i="11"/>
  <c r="C237" i="11"/>
  <c r="F267" i="11"/>
  <c r="D252" i="11"/>
  <c r="C214" i="11"/>
  <c r="C217" i="11"/>
  <c r="L226" i="11"/>
  <c r="H220" i="11"/>
  <c r="E222" i="11"/>
  <c r="D225" i="11"/>
  <c r="F226" i="11"/>
  <c r="C228" i="11"/>
  <c r="L228" i="11"/>
  <c r="H265" i="11"/>
  <c r="J99" i="14" l="1"/>
  <c r="J100" i="14" s="1"/>
  <c r="J34" i="13"/>
  <c r="J35" i="13" s="1"/>
  <c r="K10" i="10"/>
  <c r="K12" i="10"/>
  <c r="K14" i="10"/>
  <c r="K66" i="13"/>
  <c r="J67" i="13"/>
  <c r="J68" i="13" s="1"/>
  <c r="J131" i="13"/>
  <c r="L130" i="13"/>
  <c r="J99" i="13"/>
  <c r="J100" i="13" s="1"/>
  <c r="K100" i="13" s="1"/>
  <c r="M7" i="14"/>
  <c r="K14" i="14"/>
  <c r="K9" i="15"/>
  <c r="N14" i="10"/>
  <c r="J214" i="11"/>
  <c r="I214" i="11"/>
  <c r="I220" i="11"/>
  <c r="I221" i="11"/>
  <c r="I238" i="11"/>
  <c r="I241" i="11"/>
  <c r="I245" i="11"/>
  <c r="I248" i="11"/>
  <c r="I257" i="11"/>
  <c r="I261" i="11"/>
  <c r="I265" i="11"/>
  <c r="I267" i="11"/>
  <c r="I268" i="11"/>
  <c r="P13" i="14"/>
  <c r="K7" i="14"/>
  <c r="I7" i="14"/>
  <c r="I13" i="14"/>
  <c r="J13" i="14"/>
  <c r="J67" i="14"/>
  <c r="J68" i="14" s="1"/>
  <c r="L68" i="14" s="1"/>
  <c r="M68" i="14" s="1"/>
  <c r="H10" i="14"/>
  <c r="U11" i="14"/>
  <c r="I10" i="14"/>
  <c r="J10" i="14"/>
  <c r="K98" i="14"/>
  <c r="M11" i="14"/>
  <c r="I9" i="14"/>
  <c r="J14" i="14"/>
  <c r="J9" i="14"/>
  <c r="K9" i="14"/>
  <c r="H13" i="14"/>
  <c r="L66" i="14"/>
  <c r="M66" i="14" s="1"/>
  <c r="L66" i="15"/>
  <c r="M66" i="15" s="1"/>
  <c r="J67" i="15"/>
  <c r="J68" i="15" s="1"/>
  <c r="K68" i="15" s="1"/>
  <c r="H13" i="15"/>
  <c r="I9" i="15"/>
  <c r="K98" i="15"/>
  <c r="J9" i="15"/>
  <c r="H7" i="15"/>
  <c r="I7" i="15"/>
  <c r="J7" i="15"/>
  <c r="P13" i="15"/>
  <c r="M7" i="15"/>
  <c r="U11" i="15"/>
  <c r="I10" i="15"/>
  <c r="J10" i="15"/>
  <c r="J14" i="15"/>
  <c r="M11" i="15"/>
  <c r="N6" i="15" s="1"/>
  <c r="K10" i="15"/>
  <c r="K14" i="15"/>
  <c r="M11" i="13"/>
  <c r="M12" i="13" s="1"/>
  <c r="L98" i="13"/>
  <c r="X8" i="13"/>
  <c r="K9" i="13"/>
  <c r="I10" i="13"/>
  <c r="K10" i="13"/>
  <c r="K11" i="13"/>
  <c r="K33" i="13"/>
  <c r="P13" i="13"/>
  <c r="L66" i="4"/>
  <c r="J67" i="4"/>
  <c r="J68" i="4" s="1"/>
  <c r="K68" i="4" s="1"/>
  <c r="K98" i="4"/>
  <c r="L98" i="4"/>
  <c r="S7" i="13"/>
  <c r="K17" i="13"/>
  <c r="X7" i="13"/>
  <c r="X9" i="13"/>
  <c r="U11" i="13"/>
  <c r="M7" i="13"/>
  <c r="I9" i="13"/>
  <c r="H7" i="13"/>
  <c r="J9" i="13"/>
  <c r="H13" i="13"/>
  <c r="I7" i="13"/>
  <c r="J7" i="13"/>
  <c r="J10" i="13"/>
  <c r="H11" i="13"/>
  <c r="K14" i="13"/>
  <c r="L66" i="13"/>
  <c r="M66" i="13" s="1"/>
  <c r="J100" i="4"/>
  <c r="L99" i="4"/>
  <c r="K99" i="4"/>
  <c r="J132" i="4"/>
  <c r="L131" i="4"/>
  <c r="K131" i="4"/>
  <c r="K34" i="4"/>
  <c r="L34" i="4"/>
  <c r="J35" i="4"/>
  <c r="K130" i="4"/>
  <c r="L130" i="4"/>
  <c r="K33" i="4"/>
  <c r="L33" i="4"/>
  <c r="X5" i="13"/>
  <c r="X8" i="15"/>
  <c r="X9" i="14"/>
  <c r="S7" i="15"/>
  <c r="X8" i="14"/>
  <c r="X6" i="14"/>
  <c r="X10" i="14"/>
  <c r="X9" i="15"/>
  <c r="M65" i="14"/>
  <c r="M65" i="15"/>
  <c r="K33" i="15"/>
  <c r="L33" i="15"/>
  <c r="M33" i="15" s="1"/>
  <c r="J34" i="15"/>
  <c r="L100" i="15"/>
  <c r="M100" i="15" s="1"/>
  <c r="K100" i="15"/>
  <c r="J101" i="15"/>
  <c r="J69" i="15"/>
  <c r="L18" i="15"/>
  <c r="M18" i="15" s="1"/>
  <c r="K18" i="15"/>
  <c r="J19" i="15"/>
  <c r="M98" i="15"/>
  <c r="L131" i="15"/>
  <c r="M131" i="15" s="1"/>
  <c r="K131" i="15"/>
  <c r="J132" i="15"/>
  <c r="X6" i="15"/>
  <c r="H4" i="15"/>
  <c r="M129" i="15"/>
  <c r="M97" i="15"/>
  <c r="K8" i="15"/>
  <c r="J8" i="15"/>
  <c r="I8" i="15"/>
  <c r="H8" i="15"/>
  <c r="M33" i="14"/>
  <c r="X5" i="15"/>
  <c r="X10" i="15"/>
  <c r="I13" i="15"/>
  <c r="L67" i="15"/>
  <c r="M67" i="15" s="1"/>
  <c r="K130" i="15"/>
  <c r="K67" i="15"/>
  <c r="L130" i="15"/>
  <c r="M130" i="15" s="1"/>
  <c r="M97" i="14"/>
  <c r="X7" i="15"/>
  <c r="H12" i="15"/>
  <c r="K17" i="15"/>
  <c r="K99" i="15"/>
  <c r="H11" i="15"/>
  <c r="I12" i="15"/>
  <c r="L17" i="15"/>
  <c r="M17" i="15" s="1"/>
  <c r="L99" i="15"/>
  <c r="M99" i="15" s="1"/>
  <c r="I11" i="15"/>
  <c r="J12" i="15"/>
  <c r="J11" i="15"/>
  <c r="H14" i="15"/>
  <c r="M33" i="13"/>
  <c r="M65" i="13"/>
  <c r="J69" i="14"/>
  <c r="K68" i="14"/>
  <c r="L100" i="14"/>
  <c r="M100" i="14" s="1"/>
  <c r="K100" i="14"/>
  <c r="J101" i="14"/>
  <c r="H4" i="14"/>
  <c r="M129" i="14"/>
  <c r="M98" i="14"/>
  <c r="M12" i="14"/>
  <c r="M13" i="14"/>
  <c r="L131" i="14"/>
  <c r="M131" i="14" s="1"/>
  <c r="K131" i="14"/>
  <c r="J132" i="14"/>
  <c r="L18" i="14"/>
  <c r="M18" i="14" s="1"/>
  <c r="K18" i="14"/>
  <c r="J19" i="14"/>
  <c r="L67" i="14"/>
  <c r="M67" i="14" s="1"/>
  <c r="K130" i="14"/>
  <c r="K67" i="14"/>
  <c r="L130" i="14"/>
  <c r="M130" i="14" s="1"/>
  <c r="K33" i="14"/>
  <c r="H12" i="14"/>
  <c r="K17" i="14"/>
  <c r="J34" i="14"/>
  <c r="K99" i="14"/>
  <c r="H11" i="14"/>
  <c r="I12" i="14"/>
  <c r="L17" i="14"/>
  <c r="M17" i="14" s="1"/>
  <c r="L99" i="14"/>
  <c r="M99" i="14" s="1"/>
  <c r="I11" i="14"/>
  <c r="J12" i="14"/>
  <c r="X5" i="14"/>
  <c r="X7" i="14"/>
  <c r="H8" i="14"/>
  <c r="J11" i="14"/>
  <c r="I8" i="14"/>
  <c r="J8" i="14"/>
  <c r="H14" i="14"/>
  <c r="M13" i="13"/>
  <c r="M129" i="13"/>
  <c r="L131" i="13"/>
  <c r="M131" i="13" s="1"/>
  <c r="K131" i="13"/>
  <c r="J132" i="13"/>
  <c r="J69" i="13"/>
  <c r="L68" i="13"/>
  <c r="M68" i="13" s="1"/>
  <c r="K68" i="13"/>
  <c r="M130" i="13"/>
  <c r="L18" i="13"/>
  <c r="M18" i="13" s="1"/>
  <c r="K18" i="13"/>
  <c r="J19" i="13"/>
  <c r="L100" i="13"/>
  <c r="M100" i="13" s="1"/>
  <c r="M97" i="13"/>
  <c r="M98" i="13"/>
  <c r="K35" i="13"/>
  <c r="J36" i="13"/>
  <c r="L35" i="13"/>
  <c r="M35" i="13" s="1"/>
  <c r="J14" i="13"/>
  <c r="K67" i="13"/>
  <c r="X6" i="13"/>
  <c r="X10" i="13"/>
  <c r="I13" i="13"/>
  <c r="L67" i="13"/>
  <c r="M67" i="13" s="1"/>
  <c r="K130" i="13"/>
  <c r="J13" i="13"/>
  <c r="H12" i="13"/>
  <c r="I12" i="13"/>
  <c r="L17" i="13"/>
  <c r="M17" i="13" s="1"/>
  <c r="K34" i="13"/>
  <c r="I11" i="13"/>
  <c r="J12" i="13"/>
  <c r="L34" i="13"/>
  <c r="M34" i="13" s="1"/>
  <c r="H8" i="13"/>
  <c r="I8" i="13"/>
  <c r="J8" i="13"/>
  <c r="H14" i="13"/>
  <c r="O14" i="10"/>
  <c r="N15" i="10"/>
  <c r="N12" i="10"/>
  <c r="N13" i="10"/>
  <c r="N10" i="10"/>
  <c r="N11" i="10"/>
  <c r="AZ9" i="12"/>
  <c r="AV9" i="12"/>
  <c r="AZ8" i="12"/>
  <c r="AV8" i="12"/>
  <c r="AZ7" i="12"/>
  <c r="AV7" i="12"/>
  <c r="AZ6" i="12"/>
  <c r="AV6" i="12"/>
  <c r="AZ5" i="12"/>
  <c r="AV5" i="12"/>
  <c r="AZ4" i="12"/>
  <c r="AV4" i="12"/>
  <c r="AZ3" i="12"/>
  <c r="AV3" i="12"/>
  <c r="P11" i="4"/>
  <c r="P10" i="4"/>
  <c r="P9" i="4"/>
  <c r="P8" i="4"/>
  <c r="P7" i="4"/>
  <c r="P6" i="4"/>
  <c r="C226" i="11"/>
  <c r="C244" i="11"/>
  <c r="C223" i="11"/>
  <c r="F238" i="11"/>
  <c r="D248" i="11"/>
  <c r="E246" i="11"/>
  <c r="C266" i="11"/>
  <c r="C239" i="11"/>
  <c r="L254" i="11"/>
  <c r="D247" i="11"/>
  <c r="D259" i="11"/>
  <c r="E257" i="11"/>
  <c r="F234" i="11"/>
  <c r="C256" i="11"/>
  <c r="D243" i="11"/>
  <c r="F237" i="11"/>
  <c r="F240" i="11"/>
  <c r="L237" i="11"/>
  <c r="D240" i="11"/>
  <c r="F249" i="11"/>
  <c r="H227" i="11"/>
  <c r="C215" i="11"/>
  <c r="F223" i="11"/>
  <c r="L260" i="11"/>
  <c r="D251" i="11"/>
  <c r="D232" i="11"/>
  <c r="L227" i="11"/>
  <c r="L243" i="11"/>
  <c r="C247" i="11"/>
  <c r="D263" i="11"/>
  <c r="C230" i="11"/>
  <c r="C245" i="11"/>
  <c r="L252" i="11"/>
  <c r="E218" i="11"/>
  <c r="D227" i="11"/>
  <c r="D238" i="11"/>
  <c r="L244" i="11"/>
  <c r="E261" i="11"/>
  <c r="C236" i="11"/>
  <c r="D222" i="11"/>
  <c r="C218" i="11"/>
  <c r="L218" i="11"/>
  <c r="F231" i="11"/>
  <c r="D237" i="11"/>
  <c r="D230" i="11"/>
  <c r="L240" i="11"/>
  <c r="L236" i="11"/>
  <c r="L245" i="11"/>
  <c r="H233" i="11"/>
  <c r="D218" i="11"/>
  <c r="E252" i="11"/>
  <c r="L229" i="11"/>
  <c r="D244" i="11"/>
  <c r="C234" i="11"/>
  <c r="L234" i="11"/>
  <c r="F264" i="11"/>
  <c r="E235" i="11"/>
  <c r="H230" i="11"/>
  <c r="H252" i="11"/>
  <c r="H251" i="11"/>
  <c r="D266" i="11"/>
  <c r="H244" i="11"/>
  <c r="C227" i="11"/>
  <c r="H260" i="11"/>
  <c r="H263" i="11"/>
  <c r="L267" i="11"/>
  <c r="H217" i="11"/>
  <c r="E226" i="11"/>
  <c r="F235" i="11"/>
  <c r="H234" i="11"/>
  <c r="C238" i="11"/>
  <c r="D226" i="11"/>
  <c r="E264" i="11"/>
  <c r="H254" i="11"/>
  <c r="C213" i="11"/>
  <c r="C267" i="11"/>
  <c r="E266" i="11"/>
  <c r="F257" i="11"/>
  <c r="D255" i="11"/>
  <c r="D264" i="11"/>
  <c r="F243" i="11"/>
  <c r="C240" i="11"/>
  <c r="D216" i="11"/>
  <c r="C232" i="11"/>
  <c r="C222" i="11"/>
  <c r="F233" i="11"/>
  <c r="F252" i="11"/>
  <c r="E238" i="11"/>
  <c r="F250" i="11"/>
  <c r="L247" i="11"/>
  <c r="E254" i="11"/>
  <c r="L264" i="11"/>
  <c r="D234" i="11"/>
  <c r="H223" i="11"/>
  <c r="F259" i="11"/>
  <c r="L256" i="11"/>
  <c r="F247" i="11"/>
  <c r="F246" i="11"/>
  <c r="E239" i="11"/>
  <c r="H262" i="11"/>
  <c r="C262" i="11"/>
  <c r="D249" i="11"/>
  <c r="C263" i="11"/>
  <c r="L225" i="11"/>
  <c r="H256" i="11"/>
  <c r="F242" i="11"/>
  <c r="F227" i="11"/>
  <c r="H215" i="11"/>
  <c r="C252" i="11"/>
  <c r="D257" i="11"/>
  <c r="E256" i="11"/>
  <c r="H237" i="11"/>
  <c r="C220" i="11"/>
  <c r="E255" i="11"/>
  <c r="F260" i="11"/>
  <c r="F244" i="11"/>
  <c r="L257" i="11"/>
  <c r="D256" i="11"/>
  <c r="F213" i="11"/>
  <c r="H226" i="11"/>
  <c r="D258" i="11"/>
  <c r="H242" i="11"/>
  <c r="H249" i="11"/>
  <c r="H232" i="11"/>
  <c r="D267" i="11"/>
  <c r="L250" i="11"/>
  <c r="H264" i="11"/>
  <c r="F268" i="11"/>
  <c r="E265" i="11"/>
  <c r="E223" i="11"/>
  <c r="D260" i="11"/>
  <c r="C246" i="11"/>
  <c r="E224" i="11"/>
  <c r="E249" i="11"/>
  <c r="F228" i="11"/>
  <c r="D217" i="11"/>
  <c r="L223" i="11"/>
  <c r="D231" i="11"/>
  <c r="H222" i="11"/>
  <c r="H258" i="11"/>
  <c r="L230" i="11"/>
  <c r="L255" i="11"/>
  <c r="E229" i="11"/>
  <c r="H255" i="11"/>
  <c r="H224" i="11"/>
  <c r="E262" i="11"/>
  <c r="C258" i="11"/>
  <c r="C251" i="11"/>
  <c r="E263" i="11"/>
  <c r="L214" i="11"/>
  <c r="L220" i="11"/>
  <c r="E267" i="11"/>
  <c r="C268" i="11"/>
  <c r="L263" i="11"/>
  <c r="C254" i="11"/>
  <c r="H229" i="11"/>
  <c r="F220" i="11"/>
  <c r="C250" i="11"/>
  <c r="C261" i="11"/>
  <c r="E259" i="11"/>
  <c r="D229" i="11"/>
  <c r="L213" i="11"/>
  <c r="F262" i="11"/>
  <c r="E242" i="11"/>
  <c r="C265" i="11"/>
  <c r="H247" i="11"/>
  <c r="E234" i="11"/>
  <c r="C257" i="11"/>
  <c r="H253" i="11"/>
  <c r="F214" i="11"/>
  <c r="L248" i="11"/>
  <c r="F245" i="11"/>
  <c r="C225" i="11"/>
  <c r="H213" i="11"/>
  <c r="H239" i="11"/>
  <c r="H250" i="11"/>
  <c r="L224" i="11"/>
  <c r="E241" i="11"/>
  <c r="F221" i="11"/>
  <c r="F217" i="11"/>
  <c r="F255" i="11"/>
  <c r="D214" i="11"/>
  <c r="E248" i="11"/>
  <c r="F222" i="11"/>
  <c r="C233" i="11"/>
  <c r="L261" i="11"/>
  <c r="F241" i="11"/>
  <c r="H218" i="11"/>
  <c r="D219" i="11"/>
  <c r="L268" i="11"/>
  <c r="H228" i="11"/>
  <c r="H243" i="11"/>
  <c r="H259" i="11"/>
  <c r="E258" i="11"/>
  <c r="H225" i="11"/>
  <c r="C216" i="11"/>
  <c r="L216" i="11"/>
  <c r="L251" i="11"/>
  <c r="F254" i="11"/>
  <c r="C231" i="11"/>
  <c r="F253" i="11"/>
  <c r="D268" i="11"/>
  <c r="D246" i="11"/>
  <c r="E220" i="11"/>
  <c r="C241" i="11"/>
  <c r="D241" i="11"/>
  <c r="F258" i="11"/>
  <c r="L259" i="11"/>
  <c r="L265" i="11"/>
  <c r="F248" i="11"/>
  <c r="E250" i="11"/>
  <c r="F215" i="11"/>
  <c r="D265" i="11"/>
  <c r="L258" i="11"/>
  <c r="F236" i="11"/>
  <c r="D239" i="11"/>
  <c r="H235" i="11"/>
  <c r="F266" i="11"/>
  <c r="F261" i="11"/>
  <c r="E253" i="11"/>
  <c r="C219" i="11"/>
  <c r="F265" i="11"/>
  <c r="L249" i="11"/>
  <c r="L266" i="11"/>
  <c r="L221" i="11"/>
  <c r="E213" i="11"/>
  <c r="D250" i="11"/>
  <c r="E225" i="11"/>
  <c r="E268" i="11"/>
  <c r="H231" i="11"/>
  <c r="E221" i="11"/>
  <c r="L262" i="11"/>
  <c r="D262" i="11"/>
  <c r="L242" i="11"/>
  <c r="L253" i="11"/>
  <c r="H219" i="11"/>
  <c r="H246" i="11"/>
  <c r="C235" i="11"/>
  <c r="E243" i="11"/>
  <c r="L239" i="11"/>
  <c r="C248" i="11"/>
  <c r="H240" i="11"/>
  <c r="C242" i="11"/>
  <c r="E236" i="11"/>
  <c r="F229" i="11"/>
  <c r="F239" i="11"/>
  <c r="C253" i="11"/>
  <c r="E227" i="11"/>
  <c r="L222" i="11"/>
  <c r="D245" i="11"/>
  <c r="L231" i="11"/>
  <c r="D242" i="11"/>
  <c r="D228" i="11"/>
  <c r="L241" i="11"/>
  <c r="C224" i="11"/>
  <c r="L232" i="11"/>
  <c r="E245" i="11"/>
  <c r="D254" i="11"/>
  <c r="E251" i="11"/>
  <c r="L246" i="11"/>
  <c r="H266" i="11"/>
  <c r="H236" i="11"/>
  <c r="H216" i="11"/>
  <c r="L219" i="11"/>
  <c r="F230" i="11"/>
  <c r="C260" i="11"/>
  <c r="D261" i="11"/>
  <c r="C221" i="11"/>
  <c r="L68" i="15" l="1"/>
  <c r="M68" i="15" s="1"/>
  <c r="K67" i="4"/>
  <c r="J69" i="4"/>
  <c r="L68" i="4"/>
  <c r="K6" i="10"/>
  <c r="I252" i="11"/>
  <c r="I258" i="11"/>
  <c r="J247" i="11"/>
  <c r="I237" i="11"/>
  <c r="J237" i="11"/>
  <c r="I215" i="11"/>
  <c r="J260" i="11"/>
  <c r="J227" i="11"/>
  <c r="I254" i="11"/>
  <c r="J265" i="11"/>
  <c r="J243" i="11"/>
  <c r="I243" i="11"/>
  <c r="I233" i="11"/>
  <c r="J222" i="11"/>
  <c r="I250" i="11"/>
  <c r="J256" i="11"/>
  <c r="J213" i="11"/>
  <c r="I244" i="11"/>
  <c r="J225" i="11"/>
  <c r="J246" i="11"/>
  <c r="I253" i="11"/>
  <c r="I231" i="11"/>
  <c r="J221" i="11"/>
  <c r="J263" i="11"/>
  <c r="I223" i="11"/>
  <c r="J253" i="11"/>
  <c r="J234" i="11"/>
  <c r="I224" i="11"/>
  <c r="J241" i="11"/>
  <c r="I216" i="11"/>
  <c r="I235" i="11"/>
  <c r="I226" i="11"/>
  <c r="J257" i="11"/>
  <c r="J258" i="11"/>
  <c r="I227" i="11"/>
  <c r="J244" i="11"/>
  <c r="I264" i="11"/>
  <c r="J264" i="11"/>
  <c r="J232" i="11"/>
  <c r="J233" i="11"/>
  <c r="I222" i="11"/>
  <c r="I256" i="11"/>
  <c r="J219" i="11"/>
  <c r="J224" i="11"/>
  <c r="J261" i="11"/>
  <c r="J239" i="11"/>
  <c r="I218" i="11"/>
  <c r="J242" i="11"/>
  <c r="J220" i="11"/>
  <c r="I263" i="11"/>
  <c r="J248" i="11"/>
  <c r="I232" i="11"/>
  <c r="J252" i="11"/>
  <c r="I246" i="11"/>
  <c r="J228" i="11"/>
  <c r="I228" i="11"/>
  <c r="J238" i="11"/>
  <c r="I262" i="11"/>
  <c r="I230" i="11"/>
  <c r="J266" i="11"/>
  <c r="J255" i="11"/>
  <c r="I255" i="11"/>
  <c r="J245" i="11"/>
  <c r="I234" i="11"/>
  <c r="J223" i="11"/>
  <c r="J267" i="11"/>
  <c r="J231" i="11"/>
  <c r="I266" i="11"/>
  <c r="J236" i="11"/>
  <c r="I225" i="11"/>
  <c r="J216" i="11"/>
  <c r="J217" i="11"/>
  <c r="I217" i="11"/>
  <c r="I239" i="11"/>
  <c r="J218" i="11"/>
  <c r="J251" i="11"/>
  <c r="J240" i="11"/>
  <c r="I219" i="11"/>
  <c r="J262" i="11"/>
  <c r="J254" i="11"/>
  <c r="J235" i="11"/>
  <c r="I213" i="11"/>
  <c r="J268" i="11"/>
  <c r="I259" i="11"/>
  <c r="J259" i="11"/>
  <c r="I251" i="11"/>
  <c r="J230" i="11"/>
  <c r="I240" i="11"/>
  <c r="I247" i="11"/>
  <c r="J226" i="11"/>
  <c r="J215" i="11"/>
  <c r="I236" i="11"/>
  <c r="I260" i="11"/>
  <c r="J249" i="11"/>
  <c r="I249" i="11"/>
  <c r="I242" i="11"/>
  <c r="J250" i="11"/>
  <c r="J229" i="11"/>
  <c r="I229" i="11"/>
  <c r="L99" i="13"/>
  <c r="M99" i="13" s="1"/>
  <c r="N6" i="14"/>
  <c r="L67" i="4"/>
  <c r="J101" i="13"/>
  <c r="J102" i="13" s="1"/>
  <c r="K99" i="13"/>
  <c r="M13" i="15"/>
  <c r="M12" i="15"/>
  <c r="N6" i="13"/>
  <c r="P13" i="4"/>
  <c r="AZ10" i="12"/>
  <c r="AV10" i="12"/>
  <c r="BA5" i="12"/>
  <c r="BA6" i="12"/>
  <c r="BA4" i="12"/>
  <c r="BA9" i="12"/>
  <c r="BA7" i="12"/>
  <c r="BA8" i="12"/>
  <c r="BA3" i="12"/>
  <c r="L100" i="4"/>
  <c r="K100" i="4"/>
  <c r="J101" i="4"/>
  <c r="L132" i="4"/>
  <c r="J133" i="4"/>
  <c r="K132" i="4"/>
  <c r="J36" i="4"/>
  <c r="L35" i="4"/>
  <c r="K35" i="4"/>
  <c r="K69" i="4"/>
  <c r="L69" i="4"/>
  <c r="J70" i="4"/>
  <c r="AU10" i="12"/>
  <c r="J102" i="15"/>
  <c r="L101" i="15"/>
  <c r="M101" i="15" s="1"/>
  <c r="K101" i="15"/>
  <c r="J35" i="15"/>
  <c r="L34" i="15"/>
  <c r="M34" i="15" s="1"/>
  <c r="K34" i="15"/>
  <c r="J70" i="15"/>
  <c r="L69" i="15"/>
  <c r="M69" i="15" s="1"/>
  <c r="K69" i="15"/>
  <c r="K132" i="15"/>
  <c r="J133" i="15"/>
  <c r="L132" i="15"/>
  <c r="M132" i="15" s="1"/>
  <c r="J20" i="15"/>
  <c r="L19" i="15"/>
  <c r="M19" i="15" s="1"/>
  <c r="K19" i="15"/>
  <c r="J102" i="14"/>
  <c r="L101" i="14"/>
  <c r="M101" i="14" s="1"/>
  <c r="K101" i="14"/>
  <c r="J35" i="14"/>
  <c r="L34" i="14"/>
  <c r="M34" i="14" s="1"/>
  <c r="K34" i="14"/>
  <c r="K132" i="14"/>
  <c r="J133" i="14"/>
  <c r="L132" i="14"/>
  <c r="M132" i="14" s="1"/>
  <c r="J20" i="14"/>
  <c r="L19" i="14"/>
  <c r="M19" i="14" s="1"/>
  <c r="K19" i="14"/>
  <c r="L69" i="14"/>
  <c r="M69" i="14" s="1"/>
  <c r="K69" i="14"/>
  <c r="J70" i="14"/>
  <c r="J37" i="13"/>
  <c r="L36" i="13"/>
  <c r="M36" i="13" s="1"/>
  <c r="K36" i="13"/>
  <c r="J20" i="13"/>
  <c r="L19" i="13"/>
  <c r="M19" i="13" s="1"/>
  <c r="K19" i="13"/>
  <c r="J70" i="13"/>
  <c r="L69" i="13"/>
  <c r="M69" i="13" s="1"/>
  <c r="K69" i="13"/>
  <c r="J133" i="13"/>
  <c r="L132" i="13"/>
  <c r="M132" i="13" s="1"/>
  <c r="K132" i="13"/>
  <c r="P2" i="12"/>
  <c r="F12" i="10"/>
  <c r="E12" i="10"/>
  <c r="F11" i="10"/>
  <c r="E11" i="10"/>
  <c r="F2" i="12"/>
  <c r="U5" i="10"/>
  <c r="M9" i="10"/>
  <c r="P9" i="10" s="1"/>
  <c r="L9" i="10"/>
  <c r="O9" i="10" s="1"/>
  <c r="M16" i="10"/>
  <c r="L16" i="10"/>
  <c r="N16" i="10" s="1"/>
  <c r="M8" i="10"/>
  <c r="P8" i="10" s="1"/>
  <c r="L8" i="10"/>
  <c r="N8" i="10" s="1"/>
  <c r="M6" i="10"/>
  <c r="P6" i="10" s="1"/>
  <c r="L6" i="10"/>
  <c r="F4" i="6"/>
  <c r="K4" i="6" s="1"/>
  <c r="AR14" i="12"/>
  <c r="AR13" i="12"/>
  <c r="AR12" i="12"/>
  <c r="AR11" i="12"/>
  <c r="AR10" i="12"/>
  <c r="L14" i="5"/>
  <c r="K14" i="5" s="1"/>
  <c r="F14" i="5"/>
  <c r="E14" i="5"/>
  <c r="L13" i="5"/>
  <c r="K13" i="5" s="1"/>
  <c r="F13" i="5"/>
  <c r="E13" i="5"/>
  <c r="L12" i="5"/>
  <c r="K12" i="5" s="1"/>
  <c r="F12" i="5"/>
  <c r="E12" i="5"/>
  <c r="L11" i="5"/>
  <c r="I11" i="5" s="1"/>
  <c r="F11" i="5"/>
  <c r="E11" i="5"/>
  <c r="W10" i="5"/>
  <c r="U10" i="5"/>
  <c r="R10" i="5"/>
  <c r="Q10" i="5"/>
  <c r="S10" i="5" s="1"/>
  <c r="M10" i="5"/>
  <c r="L10" i="5"/>
  <c r="K10" i="5" s="1"/>
  <c r="F10" i="5"/>
  <c r="E10" i="5"/>
  <c r="W9" i="5"/>
  <c r="V9" i="5"/>
  <c r="U9" i="5"/>
  <c r="R9" i="5"/>
  <c r="Q9" i="5"/>
  <c r="S9" i="5" s="1"/>
  <c r="M9" i="5"/>
  <c r="L9" i="5"/>
  <c r="I9" i="5" s="1"/>
  <c r="F9" i="5"/>
  <c r="E9" i="5"/>
  <c r="W8" i="5"/>
  <c r="U8" i="5"/>
  <c r="R8" i="5"/>
  <c r="Q8" i="5"/>
  <c r="S8" i="5" s="1"/>
  <c r="M8" i="5"/>
  <c r="L8" i="5"/>
  <c r="H8" i="5" s="1"/>
  <c r="F8" i="5"/>
  <c r="E8" i="5"/>
  <c r="W7" i="5"/>
  <c r="V7" i="5"/>
  <c r="U7" i="5"/>
  <c r="R7" i="5"/>
  <c r="Q7" i="5"/>
  <c r="S7" i="5" s="1"/>
  <c r="L7" i="5"/>
  <c r="I7" i="5" s="1"/>
  <c r="F7" i="5"/>
  <c r="E7" i="5"/>
  <c r="W6" i="5"/>
  <c r="U6" i="5"/>
  <c r="R6" i="5"/>
  <c r="Q6" i="5"/>
  <c r="S6" i="5" s="1"/>
  <c r="F6" i="5"/>
  <c r="B6" i="5"/>
  <c r="W5" i="5"/>
  <c r="V5" i="5"/>
  <c r="U5" i="5"/>
  <c r="R5" i="5"/>
  <c r="Q5" i="5"/>
  <c r="S5" i="5" s="1"/>
  <c r="H5" i="5"/>
  <c r="W4" i="5"/>
  <c r="U4" i="5"/>
  <c r="R4" i="5"/>
  <c r="Q4" i="5"/>
  <c r="S4" i="5" s="1"/>
  <c r="D4" i="5"/>
  <c r="D5" i="5" s="1"/>
  <c r="J130" i="5"/>
  <c r="L130" i="5" s="1"/>
  <c r="J131" i="5"/>
  <c r="L131" i="5" s="1"/>
  <c r="I131" i="5"/>
  <c r="W3" i="5"/>
  <c r="V3" i="5"/>
  <c r="U3" i="5"/>
  <c r="H3" i="5"/>
  <c r="E14" i="4"/>
  <c r="E13" i="4"/>
  <c r="E12" i="4"/>
  <c r="E11" i="4"/>
  <c r="E10" i="4"/>
  <c r="E9" i="4"/>
  <c r="E8" i="4"/>
  <c r="E7" i="4"/>
  <c r="H5" i="4"/>
  <c r="H3" i="4"/>
  <c r="H9" i="5"/>
  <c r="K11" i="5"/>
  <c r="I13" i="5"/>
  <c r="H13" i="5"/>
  <c r="J13" i="5"/>
  <c r="J10" i="5"/>
  <c r="U10" i="4"/>
  <c r="U9" i="4"/>
  <c r="U8" i="4"/>
  <c r="U7" i="4"/>
  <c r="U6" i="4"/>
  <c r="U5" i="4"/>
  <c r="U3" i="4"/>
  <c r="U4" i="4"/>
  <c r="B6" i="4"/>
  <c r="W10" i="4"/>
  <c r="W9" i="4"/>
  <c r="W8" i="4"/>
  <c r="W7" i="4"/>
  <c r="W6" i="4"/>
  <c r="W5" i="4"/>
  <c r="W4" i="4"/>
  <c r="W3" i="4"/>
  <c r="V9" i="4"/>
  <c r="V7" i="4"/>
  <c r="V5" i="4"/>
  <c r="V3" i="4"/>
  <c r="R10" i="4"/>
  <c r="R9" i="4"/>
  <c r="R8" i="4"/>
  <c r="R7" i="4"/>
  <c r="R6" i="4"/>
  <c r="R5" i="4"/>
  <c r="R4" i="4"/>
  <c r="Q10" i="4"/>
  <c r="S10" i="4" s="1"/>
  <c r="Q9" i="4"/>
  <c r="Q8" i="4"/>
  <c r="S8" i="4" s="1"/>
  <c r="Q7" i="4"/>
  <c r="S7" i="4" s="1"/>
  <c r="Q6" i="4"/>
  <c r="S6" i="4" s="1"/>
  <c r="Q5" i="4"/>
  <c r="S5" i="4" s="1"/>
  <c r="Q4" i="4"/>
  <c r="S4" i="4" s="1"/>
  <c r="AH53" i="12"/>
  <c r="AG53" i="12"/>
  <c r="AH49" i="12"/>
  <c r="AH48" i="12"/>
  <c r="AH47" i="12"/>
  <c r="AH52" i="12"/>
  <c r="AH51" i="12"/>
  <c r="AH50" i="12"/>
  <c r="AH41" i="12"/>
  <c r="AH40" i="12"/>
  <c r="AH39" i="12"/>
  <c r="AH38" i="12"/>
  <c r="AH37" i="12"/>
  <c r="AH36" i="12"/>
  <c r="AH35" i="12"/>
  <c r="AH34" i="12"/>
  <c r="AG41" i="12"/>
  <c r="AG40" i="12"/>
  <c r="AG39" i="12"/>
  <c r="AG38" i="12"/>
  <c r="AG37" i="12"/>
  <c r="AG36" i="12"/>
  <c r="AG35" i="12"/>
  <c r="AG34" i="12"/>
  <c r="AG52" i="12"/>
  <c r="AG51" i="12"/>
  <c r="AG50" i="12"/>
  <c r="AG49" i="12"/>
  <c r="AG48" i="12"/>
  <c r="AG47" i="12"/>
  <c r="AG46" i="12"/>
  <c r="Q3" i="5" s="1"/>
  <c r="AG45" i="12"/>
  <c r="AG44" i="12"/>
  <c r="AG43" i="12"/>
  <c r="AH45" i="12"/>
  <c r="AH44" i="12"/>
  <c r="AH43" i="12"/>
  <c r="AH42" i="12"/>
  <c r="AG42" i="12"/>
  <c r="AH46" i="12"/>
  <c r="AG28" i="12"/>
  <c r="AG29" i="12"/>
  <c r="AG30" i="12"/>
  <c r="AG31" i="12"/>
  <c r="AG32" i="12"/>
  <c r="AG33" i="12"/>
  <c r="AG27" i="12"/>
  <c r="AG26" i="12"/>
  <c r="AG25" i="12"/>
  <c r="AG24" i="12"/>
  <c r="AG23" i="12"/>
  <c r="AG22" i="12"/>
  <c r="AG21" i="12"/>
  <c r="AG20" i="12"/>
  <c r="AG19" i="12"/>
  <c r="AG18" i="12"/>
  <c r="AG17" i="12"/>
  <c r="AG16" i="12"/>
  <c r="AG15" i="12"/>
  <c r="AG14" i="12"/>
  <c r="AG13" i="12"/>
  <c r="AG12" i="12"/>
  <c r="AG11" i="12"/>
  <c r="AG10" i="12"/>
  <c r="AH33" i="12"/>
  <c r="AH32" i="12"/>
  <c r="AH31" i="12"/>
  <c r="AH30" i="12"/>
  <c r="AH29" i="12"/>
  <c r="AH28" i="12"/>
  <c r="AH27" i="12"/>
  <c r="AH26" i="12"/>
  <c r="AH25" i="12"/>
  <c r="AH24" i="12"/>
  <c r="AH23" i="12"/>
  <c r="AH22" i="12"/>
  <c r="AH21" i="12"/>
  <c r="AH20" i="12"/>
  <c r="AH19" i="12"/>
  <c r="AH18" i="12"/>
  <c r="AH17" i="12"/>
  <c r="AH16" i="12"/>
  <c r="AH15" i="12"/>
  <c r="AH14" i="12"/>
  <c r="AH13" i="12"/>
  <c r="AH12" i="12"/>
  <c r="AH11" i="12"/>
  <c r="AH10" i="12"/>
  <c r="L14" i="4"/>
  <c r="I14" i="4" s="1"/>
  <c r="L13" i="4"/>
  <c r="I13" i="4" s="1"/>
  <c r="L12" i="4"/>
  <c r="I12" i="4" s="1"/>
  <c r="L11" i="4"/>
  <c r="J11" i="4" s="1"/>
  <c r="L10" i="4"/>
  <c r="H10" i="4" s="1"/>
  <c r="L9" i="4"/>
  <c r="K9" i="4" s="1"/>
  <c r="L8" i="4"/>
  <c r="I8" i="4" s="1"/>
  <c r="L7" i="4"/>
  <c r="K7" i="4" s="1"/>
  <c r="M9" i="4"/>
  <c r="M8" i="4"/>
  <c r="M10" i="4"/>
  <c r="Q3" i="4"/>
  <c r="S14" i="12"/>
  <c r="S13" i="12"/>
  <c r="F14" i="4"/>
  <c r="F13" i="4"/>
  <c r="F12" i="4"/>
  <c r="F11" i="4"/>
  <c r="F10" i="4"/>
  <c r="F9" i="4"/>
  <c r="F8" i="4"/>
  <c r="F7" i="4"/>
  <c r="F6" i="4"/>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0" i="5"/>
  <c r="L129" i="5"/>
  <c r="K129"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J98" i="5"/>
  <c r="L98" i="5" s="1"/>
  <c r="I98" i="5"/>
  <c r="L97" i="5"/>
  <c r="K97"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J66" i="5"/>
  <c r="L66" i="5" s="1"/>
  <c r="I66" i="5"/>
  <c r="L65" i="5"/>
  <c r="K65" i="5"/>
  <c r="I65" i="5"/>
  <c r="I32" i="4"/>
  <c r="I31" i="4"/>
  <c r="I30" i="4"/>
  <c r="I29" i="4"/>
  <c r="I28" i="4"/>
  <c r="I27" i="4"/>
  <c r="I26" i="4"/>
  <c r="I25" i="4"/>
  <c r="I24" i="4"/>
  <c r="I23" i="4"/>
  <c r="I22" i="4"/>
  <c r="I21" i="4"/>
  <c r="I19" i="4"/>
  <c r="I18" i="4"/>
  <c r="I17" i="4"/>
  <c r="D4" i="6"/>
  <c r="D5" i="6" s="1"/>
  <c r="D4" i="4"/>
  <c r="D5" i="4" s="1"/>
  <c r="M33" i="4" s="1"/>
  <c r="X10" i="12"/>
  <c r="X11" i="12" s="1"/>
  <c r="X12" i="12" s="1"/>
  <c r="X13" i="12"/>
  <c r="X14" i="12" s="1"/>
  <c r="X15" i="12" s="1"/>
  <c r="X16" i="12" s="1"/>
  <c r="X17" i="12" s="1"/>
  <c r="X18" i="12" s="1"/>
  <c r="X19" i="12" s="1"/>
  <c r="X20" i="12" s="1"/>
  <c r="X21" i="12" s="1"/>
  <c r="X22" i="12" s="1"/>
  <c r="X23" i="12" s="1"/>
  <c r="X24" i="12" s="1"/>
  <c r="X25" i="12" s="1"/>
  <c r="X26" i="12" s="1"/>
  <c r="X27" i="12" s="1"/>
  <c r="X28" i="12" s="1"/>
  <c r="A14" i="2"/>
  <c r="M7" i="10" s="1"/>
  <c r="A60" i="2"/>
  <c r="R16" i="10"/>
  <c r="R9" i="10"/>
  <c r="Q16" i="10"/>
  <c r="F8" i="10"/>
  <c r="F10" i="10"/>
  <c r="F6" i="10"/>
  <c r="F9" i="10"/>
  <c r="F7" i="10"/>
  <c r="F5" i="10"/>
  <c r="E8" i="10"/>
  <c r="E10" i="10"/>
  <c r="E6" i="10"/>
  <c r="E9" i="10"/>
  <c r="E7" i="10"/>
  <c r="E5" i="10"/>
  <c r="P16" i="10"/>
  <c r="U9" i="10"/>
  <c r="J33" i="5"/>
  <c r="C13" i="10"/>
  <c r="B13" i="10"/>
  <c r="D12" i="10"/>
  <c r="D8" i="10"/>
  <c r="D10" i="10"/>
  <c r="D6" i="10"/>
  <c r="D9" i="10"/>
  <c r="D11" i="10"/>
  <c r="D7" i="10"/>
  <c r="D5" i="10"/>
  <c r="J17" i="6"/>
  <c r="J18" i="6" s="1"/>
  <c r="J17" i="4"/>
  <c r="J17" i="5"/>
  <c r="L17" i="5" s="1"/>
  <c r="J41" i="6"/>
  <c r="G237" i="11"/>
  <c r="G213" i="11"/>
  <c r="G214" i="11"/>
  <c r="D14" i="10" l="1"/>
  <c r="O16" i="10"/>
  <c r="F14" i="10"/>
  <c r="E14" i="10"/>
  <c r="K101" i="13"/>
  <c r="L101" i="13"/>
  <c r="M101" i="13" s="1"/>
  <c r="H14" i="5"/>
  <c r="O8" i="10"/>
  <c r="K130" i="5"/>
  <c r="J8" i="5"/>
  <c r="L7" i="10"/>
  <c r="O7" i="10" s="1"/>
  <c r="I14" i="5"/>
  <c r="I9" i="4"/>
  <c r="N9" i="10"/>
  <c r="J9" i="4"/>
  <c r="K9" i="5"/>
  <c r="M7" i="5"/>
  <c r="M11" i="5"/>
  <c r="N6" i="10"/>
  <c r="R3" i="5"/>
  <c r="X3" i="5" s="1"/>
  <c r="R3" i="13"/>
  <c r="R3" i="15"/>
  <c r="R3" i="14"/>
  <c r="Q3" i="13"/>
  <c r="Q3" i="15"/>
  <c r="Q3" i="14"/>
  <c r="L41" i="6"/>
  <c r="M41" i="6" s="1"/>
  <c r="L17" i="6"/>
  <c r="M17" i="6" s="1"/>
  <c r="K17" i="6"/>
  <c r="K98" i="5"/>
  <c r="J12" i="5"/>
  <c r="U11" i="5"/>
  <c r="H12" i="5"/>
  <c r="H11" i="5"/>
  <c r="J11" i="5"/>
  <c r="J14" i="5"/>
  <c r="H7" i="5"/>
  <c r="I12" i="5"/>
  <c r="M13" i="5"/>
  <c r="M12" i="5"/>
  <c r="J9" i="5"/>
  <c r="X9" i="5"/>
  <c r="M66" i="5"/>
  <c r="BA10" i="12"/>
  <c r="J67" i="5"/>
  <c r="L67" i="5" s="1"/>
  <c r="M67" i="5" s="1"/>
  <c r="K8" i="5"/>
  <c r="K66" i="5"/>
  <c r="N6" i="5"/>
  <c r="J18" i="5"/>
  <c r="J19" i="5" s="1"/>
  <c r="K17" i="5"/>
  <c r="I8" i="5"/>
  <c r="J7" i="5"/>
  <c r="K13" i="4"/>
  <c r="H14" i="4"/>
  <c r="M11" i="4"/>
  <c r="M12" i="4" s="1"/>
  <c r="J12" i="4"/>
  <c r="X10" i="5"/>
  <c r="U11" i="10"/>
  <c r="E13" i="10"/>
  <c r="D13" i="10"/>
  <c r="M34" i="4"/>
  <c r="M68" i="4"/>
  <c r="M130" i="4"/>
  <c r="M65" i="4"/>
  <c r="M129" i="4"/>
  <c r="M97" i="4"/>
  <c r="M98" i="4"/>
  <c r="M66" i="4"/>
  <c r="J71" i="4"/>
  <c r="L70" i="4"/>
  <c r="M70" i="4" s="1"/>
  <c r="K70" i="4"/>
  <c r="J134" i="4"/>
  <c r="L133" i="4"/>
  <c r="M133" i="4" s="1"/>
  <c r="K133" i="4"/>
  <c r="M69" i="4"/>
  <c r="M132" i="4"/>
  <c r="J102" i="4"/>
  <c r="L101" i="4"/>
  <c r="M101" i="4" s="1"/>
  <c r="K101" i="4"/>
  <c r="M35" i="4"/>
  <c r="M100" i="4"/>
  <c r="J37" i="4"/>
  <c r="L36" i="4"/>
  <c r="M36" i="4" s="1"/>
  <c r="K36" i="4"/>
  <c r="M67" i="4"/>
  <c r="M131" i="4"/>
  <c r="M99" i="4"/>
  <c r="X7" i="4"/>
  <c r="H8" i="4"/>
  <c r="J10" i="4"/>
  <c r="J14" i="4"/>
  <c r="M7" i="4"/>
  <c r="J13" i="4"/>
  <c r="I10" i="4"/>
  <c r="K10" i="4"/>
  <c r="H13" i="4"/>
  <c r="K14" i="4"/>
  <c r="U11" i="4"/>
  <c r="H12" i="4"/>
  <c r="H9" i="4"/>
  <c r="X8" i="4"/>
  <c r="H7" i="4"/>
  <c r="J134" i="15"/>
  <c r="L133" i="15"/>
  <c r="M133" i="15" s="1"/>
  <c r="K133" i="15"/>
  <c r="J71" i="15"/>
  <c r="L70" i="15"/>
  <c r="M70" i="15" s="1"/>
  <c r="K70" i="15"/>
  <c r="K35" i="15"/>
  <c r="J36" i="15"/>
  <c r="L35" i="15"/>
  <c r="M35" i="15" s="1"/>
  <c r="L20" i="15"/>
  <c r="M20" i="15" s="1"/>
  <c r="K20" i="15"/>
  <c r="J21" i="15"/>
  <c r="L102" i="15"/>
  <c r="M102" i="15" s="1"/>
  <c r="K102" i="15"/>
  <c r="J103" i="15"/>
  <c r="L20" i="14"/>
  <c r="M20" i="14" s="1"/>
  <c r="K20" i="14"/>
  <c r="J21" i="14"/>
  <c r="J134" i="14"/>
  <c r="L133" i="14"/>
  <c r="M133" i="14" s="1"/>
  <c r="K133" i="14"/>
  <c r="K35" i="14"/>
  <c r="J36" i="14"/>
  <c r="L35" i="14"/>
  <c r="M35" i="14" s="1"/>
  <c r="J71" i="14"/>
  <c r="L70" i="14"/>
  <c r="M70" i="14" s="1"/>
  <c r="K70" i="14"/>
  <c r="L102" i="14"/>
  <c r="M102" i="14" s="1"/>
  <c r="K102" i="14"/>
  <c r="J103" i="14"/>
  <c r="L20" i="13"/>
  <c r="M20" i="13" s="1"/>
  <c r="K20" i="13"/>
  <c r="J21" i="13"/>
  <c r="J71" i="13"/>
  <c r="L70" i="13"/>
  <c r="M70" i="13" s="1"/>
  <c r="K70" i="13"/>
  <c r="L102" i="13"/>
  <c r="M102" i="13" s="1"/>
  <c r="K102" i="13"/>
  <c r="J103" i="13"/>
  <c r="J134" i="13"/>
  <c r="L133" i="13"/>
  <c r="M133" i="13" s="1"/>
  <c r="K133" i="13"/>
  <c r="L37" i="13"/>
  <c r="M37" i="13" s="1"/>
  <c r="K37" i="13"/>
  <c r="J38" i="13"/>
  <c r="O6" i="10"/>
  <c r="O18" i="10" s="1"/>
  <c r="R18" i="10"/>
  <c r="P7" i="10"/>
  <c r="P18" i="10" s="1"/>
  <c r="Q18" i="10"/>
  <c r="F13" i="10"/>
  <c r="X9" i="4"/>
  <c r="X8" i="5"/>
  <c r="S3" i="5"/>
  <c r="S11" i="5" s="1"/>
  <c r="L4" i="5" s="1"/>
  <c r="X5" i="5"/>
  <c r="X6" i="5"/>
  <c r="X10" i="4"/>
  <c r="H4" i="5"/>
  <c r="M97" i="5"/>
  <c r="H4" i="4"/>
  <c r="I4" i="6"/>
  <c r="M130" i="5"/>
  <c r="M129" i="5"/>
  <c r="M65" i="5"/>
  <c r="M17" i="5"/>
  <c r="J34" i="5"/>
  <c r="L33" i="5"/>
  <c r="M33" i="5" s="1"/>
  <c r="K33" i="5"/>
  <c r="J19" i="6"/>
  <c r="L18" i="6"/>
  <c r="M18" i="6" s="1"/>
  <c r="K18" i="6"/>
  <c r="K41" i="6"/>
  <c r="J42" i="6"/>
  <c r="J68" i="5"/>
  <c r="J18" i="4"/>
  <c r="L17" i="4"/>
  <c r="M17" i="4" s="1"/>
  <c r="K17" i="4"/>
  <c r="M98" i="5"/>
  <c r="M131" i="5"/>
  <c r="J99" i="5"/>
  <c r="X5" i="4"/>
  <c r="K11" i="4"/>
  <c r="I7" i="4"/>
  <c r="X6" i="4"/>
  <c r="S3" i="4"/>
  <c r="S9" i="4"/>
  <c r="I11" i="4"/>
  <c r="H11" i="4"/>
  <c r="M13" i="4"/>
  <c r="K8" i="4"/>
  <c r="K12" i="4"/>
  <c r="R3" i="4"/>
  <c r="X4" i="4" s="1"/>
  <c r="X7" i="5"/>
  <c r="I10" i="5"/>
  <c r="J8" i="4"/>
  <c r="X4" i="5"/>
  <c r="K7" i="5"/>
  <c r="K131" i="5"/>
  <c r="J132" i="5"/>
  <c r="J7" i="4"/>
  <c r="H10" i="5"/>
  <c r="G215" i="11"/>
  <c r="K214" i="11"/>
  <c r="K213" i="11"/>
  <c r="G238" i="11"/>
  <c r="K237" i="11"/>
  <c r="K67" i="5" l="1"/>
  <c r="N6" i="4"/>
  <c r="N7" i="10"/>
  <c r="X3" i="14"/>
  <c r="X4" i="14"/>
  <c r="S3" i="14"/>
  <c r="S11" i="14" s="1"/>
  <c r="L4" i="14" s="1"/>
  <c r="S3" i="15"/>
  <c r="S11" i="15" s="1"/>
  <c r="L4" i="15" s="1"/>
  <c r="X3" i="15"/>
  <c r="X4" i="15"/>
  <c r="S3" i="13"/>
  <c r="S11" i="13" s="1"/>
  <c r="L4" i="13" s="1"/>
  <c r="X3" i="13"/>
  <c r="X4" i="13"/>
  <c r="K19" i="5"/>
  <c r="L19" i="5"/>
  <c r="M19" i="5" s="1"/>
  <c r="J20" i="5"/>
  <c r="L20" i="5" s="1"/>
  <c r="M20" i="5" s="1"/>
  <c r="L18" i="5"/>
  <c r="M18" i="5" s="1"/>
  <c r="K18" i="5"/>
  <c r="L71" i="4"/>
  <c r="M71" i="4" s="1"/>
  <c r="K71" i="4"/>
  <c r="J72" i="4"/>
  <c r="K37" i="4"/>
  <c r="L37" i="4"/>
  <c r="M37" i="4" s="1"/>
  <c r="J38" i="4"/>
  <c r="J103" i="4"/>
  <c r="L102" i="4"/>
  <c r="M102" i="4" s="1"/>
  <c r="K102" i="4"/>
  <c r="K134" i="4"/>
  <c r="J135" i="4"/>
  <c r="L134" i="4"/>
  <c r="M134" i="4" s="1"/>
  <c r="L5" i="5"/>
  <c r="L71" i="15"/>
  <c r="M71" i="15" s="1"/>
  <c r="K71" i="15"/>
  <c r="J72" i="15"/>
  <c r="J37" i="15"/>
  <c r="L36" i="15"/>
  <c r="M36" i="15" s="1"/>
  <c r="K36" i="15"/>
  <c r="K103" i="15"/>
  <c r="L103" i="15"/>
  <c r="M103" i="15" s="1"/>
  <c r="J104" i="15"/>
  <c r="K21" i="15"/>
  <c r="L21" i="15"/>
  <c r="M21" i="15" s="1"/>
  <c r="J22" i="15"/>
  <c r="K134" i="15"/>
  <c r="L134" i="15"/>
  <c r="M134" i="15" s="1"/>
  <c r="J135" i="15"/>
  <c r="L71" i="14"/>
  <c r="M71" i="14" s="1"/>
  <c r="J72" i="14"/>
  <c r="K71" i="14"/>
  <c r="L21" i="14"/>
  <c r="M21" i="14" s="1"/>
  <c r="K21" i="14"/>
  <c r="J22" i="14"/>
  <c r="J37" i="14"/>
  <c r="L36" i="14"/>
  <c r="M36" i="14" s="1"/>
  <c r="K36" i="14"/>
  <c r="K134" i="14"/>
  <c r="L134" i="14"/>
  <c r="M134" i="14" s="1"/>
  <c r="J135" i="14"/>
  <c r="L103" i="14"/>
  <c r="M103" i="14" s="1"/>
  <c r="J104" i="14"/>
  <c r="K103" i="14"/>
  <c r="J104" i="13"/>
  <c r="L103" i="13"/>
  <c r="M103" i="13" s="1"/>
  <c r="K103" i="13"/>
  <c r="K134" i="13"/>
  <c r="J135" i="13"/>
  <c r="L134" i="13"/>
  <c r="M134" i="13" s="1"/>
  <c r="J39" i="13"/>
  <c r="L38" i="13"/>
  <c r="M38" i="13" s="1"/>
  <c r="K38" i="13"/>
  <c r="K21" i="13"/>
  <c r="J22" i="13"/>
  <c r="L21" i="13"/>
  <c r="M21" i="13" s="1"/>
  <c r="L71" i="13"/>
  <c r="M71" i="13" s="1"/>
  <c r="K71" i="13"/>
  <c r="J72" i="13"/>
  <c r="Q19" i="10"/>
  <c r="O19" i="10"/>
  <c r="O20" i="10"/>
  <c r="S11" i="4"/>
  <c r="L4" i="4" s="1"/>
  <c r="J35" i="5"/>
  <c r="L34" i="5"/>
  <c r="M34" i="5" s="1"/>
  <c r="K34" i="5"/>
  <c r="L132" i="5"/>
  <c r="M132" i="5" s="1"/>
  <c r="J133" i="5"/>
  <c r="K132" i="5"/>
  <c r="K18" i="4"/>
  <c r="J19" i="4"/>
  <c r="J20" i="4" s="1"/>
  <c r="L18" i="4"/>
  <c r="M18" i="4" s="1"/>
  <c r="K42" i="6"/>
  <c r="J43" i="6"/>
  <c r="L42" i="6"/>
  <c r="M42" i="6" s="1"/>
  <c r="J69" i="5"/>
  <c r="L68" i="5"/>
  <c r="M68" i="5" s="1"/>
  <c r="K68" i="5"/>
  <c r="L19" i="6"/>
  <c r="M19" i="6" s="1"/>
  <c r="K19" i="6"/>
  <c r="J20" i="6"/>
  <c r="X3" i="4"/>
  <c r="L5" i="4" s="1"/>
  <c r="P19" i="10"/>
  <c r="P20" i="10"/>
  <c r="K99" i="5"/>
  <c r="J100" i="5"/>
  <c r="L99" i="5"/>
  <c r="M99" i="5" s="1"/>
  <c r="R19" i="10"/>
  <c r="G239" i="11"/>
  <c r="K215" i="11"/>
  <c r="K238" i="11"/>
  <c r="G216" i="11"/>
  <c r="L5" i="14" l="1"/>
  <c r="L5" i="15"/>
  <c r="L5" i="13"/>
  <c r="J21" i="5"/>
  <c r="K20" i="5"/>
  <c r="J136" i="4"/>
  <c r="L135" i="4"/>
  <c r="M135" i="4" s="1"/>
  <c r="K135" i="4"/>
  <c r="L103" i="4"/>
  <c r="M103" i="4" s="1"/>
  <c r="K103" i="4"/>
  <c r="J104" i="4"/>
  <c r="J39" i="4"/>
  <c r="L38" i="4"/>
  <c r="M38" i="4" s="1"/>
  <c r="K38" i="4"/>
  <c r="J73" i="4"/>
  <c r="L72" i="4"/>
  <c r="M72" i="4" s="1"/>
  <c r="K72" i="4"/>
  <c r="L20" i="4"/>
  <c r="M20" i="4" s="1"/>
  <c r="K20" i="4"/>
  <c r="L37" i="15"/>
  <c r="M37" i="15" s="1"/>
  <c r="K37" i="15"/>
  <c r="J38" i="15"/>
  <c r="J23" i="15"/>
  <c r="L22" i="15"/>
  <c r="M22" i="15" s="1"/>
  <c r="K22" i="15"/>
  <c r="J105" i="15"/>
  <c r="L104" i="15"/>
  <c r="M104" i="15" s="1"/>
  <c r="K104" i="15"/>
  <c r="J136" i="15"/>
  <c r="L135" i="15"/>
  <c r="M135" i="15" s="1"/>
  <c r="K135" i="15"/>
  <c r="J73" i="15"/>
  <c r="L72" i="15"/>
  <c r="M72" i="15" s="1"/>
  <c r="K72" i="15"/>
  <c r="J136" i="14"/>
  <c r="L135" i="14"/>
  <c r="M135" i="14" s="1"/>
  <c r="K135" i="14"/>
  <c r="L37" i="14"/>
  <c r="M37" i="14" s="1"/>
  <c r="K37" i="14"/>
  <c r="J38" i="14"/>
  <c r="J105" i="14"/>
  <c r="L104" i="14"/>
  <c r="M104" i="14" s="1"/>
  <c r="K104" i="14"/>
  <c r="J73" i="14"/>
  <c r="L72" i="14"/>
  <c r="M72" i="14" s="1"/>
  <c r="K72" i="14"/>
  <c r="J23" i="14"/>
  <c r="L22" i="14"/>
  <c r="M22" i="14" s="1"/>
  <c r="K22" i="14"/>
  <c r="J23" i="13"/>
  <c r="L22" i="13"/>
  <c r="M22" i="13" s="1"/>
  <c r="K22" i="13"/>
  <c r="J73" i="13"/>
  <c r="L72" i="13"/>
  <c r="M72" i="13" s="1"/>
  <c r="K72" i="13"/>
  <c r="J40" i="13"/>
  <c r="L39" i="13"/>
  <c r="M39" i="13" s="1"/>
  <c r="K39" i="13"/>
  <c r="J136" i="13"/>
  <c r="L135" i="13"/>
  <c r="M135" i="13" s="1"/>
  <c r="K135" i="13"/>
  <c r="J105" i="13"/>
  <c r="L104" i="13"/>
  <c r="M104" i="13" s="1"/>
  <c r="K104" i="13"/>
  <c r="K19" i="4"/>
  <c r="L19" i="4"/>
  <c r="M19" i="4" s="1"/>
  <c r="K20" i="6"/>
  <c r="L20" i="6"/>
  <c r="M20" i="6" s="1"/>
  <c r="J21" i="6"/>
  <c r="K43" i="6"/>
  <c r="J44" i="6"/>
  <c r="L43" i="6"/>
  <c r="M43" i="6" s="1"/>
  <c r="L69" i="5"/>
  <c r="M69" i="5" s="1"/>
  <c r="J70" i="5"/>
  <c r="K69" i="5"/>
  <c r="K21" i="5"/>
  <c r="J22" i="5"/>
  <c r="L21" i="5"/>
  <c r="M21" i="5" s="1"/>
  <c r="L100" i="5"/>
  <c r="M100" i="5" s="1"/>
  <c r="K100" i="5"/>
  <c r="J101" i="5"/>
  <c r="L35" i="5"/>
  <c r="M35" i="5" s="1"/>
  <c r="K35" i="5"/>
  <c r="J36" i="5"/>
  <c r="J134" i="5"/>
  <c r="L133" i="5"/>
  <c r="M133" i="5" s="1"/>
  <c r="K133" i="5"/>
  <c r="K239" i="11"/>
  <c r="K216" i="11"/>
  <c r="G217" i="11"/>
  <c r="G240" i="11"/>
  <c r="J74" i="4" l="1"/>
  <c r="L73" i="4"/>
  <c r="M73" i="4" s="1"/>
  <c r="K73" i="4"/>
  <c r="J40" i="4"/>
  <c r="L39" i="4"/>
  <c r="M39" i="4" s="1"/>
  <c r="K39" i="4"/>
  <c r="J105" i="4"/>
  <c r="L104" i="4"/>
  <c r="M104" i="4" s="1"/>
  <c r="K104" i="4"/>
  <c r="L136" i="4"/>
  <c r="M136" i="4" s="1"/>
  <c r="K136" i="4"/>
  <c r="J137" i="4"/>
  <c r="L136" i="15"/>
  <c r="M136" i="15" s="1"/>
  <c r="K136" i="15"/>
  <c r="J137" i="15"/>
  <c r="K105" i="15"/>
  <c r="L105" i="15"/>
  <c r="M105" i="15" s="1"/>
  <c r="J106" i="15"/>
  <c r="K23" i="15"/>
  <c r="J24" i="15"/>
  <c r="L23" i="15"/>
  <c r="M23" i="15" s="1"/>
  <c r="K38" i="15"/>
  <c r="J39" i="15"/>
  <c r="L38" i="15"/>
  <c r="M38" i="15" s="1"/>
  <c r="L73" i="15"/>
  <c r="M73" i="15" s="1"/>
  <c r="K73" i="15"/>
  <c r="J74" i="15"/>
  <c r="L73" i="14"/>
  <c r="M73" i="14" s="1"/>
  <c r="K73" i="14"/>
  <c r="J74" i="14"/>
  <c r="K105" i="14"/>
  <c r="L105" i="14"/>
  <c r="M105" i="14" s="1"/>
  <c r="J106" i="14"/>
  <c r="K38" i="14"/>
  <c r="J39" i="14"/>
  <c r="L38" i="14"/>
  <c r="M38" i="14" s="1"/>
  <c r="K23" i="14"/>
  <c r="L23" i="14"/>
  <c r="M23" i="14" s="1"/>
  <c r="J24" i="14"/>
  <c r="L136" i="14"/>
  <c r="M136" i="14" s="1"/>
  <c r="K136" i="14"/>
  <c r="J137" i="14"/>
  <c r="L73" i="13"/>
  <c r="M73" i="13" s="1"/>
  <c r="K73" i="13"/>
  <c r="J74" i="13"/>
  <c r="L136" i="13"/>
  <c r="M136" i="13" s="1"/>
  <c r="K136" i="13"/>
  <c r="J137" i="13"/>
  <c r="L40" i="13"/>
  <c r="M40" i="13" s="1"/>
  <c r="J41" i="13"/>
  <c r="K40" i="13"/>
  <c r="K105" i="13"/>
  <c r="J106" i="13"/>
  <c r="L105" i="13"/>
  <c r="M105" i="13" s="1"/>
  <c r="K23" i="13"/>
  <c r="J24" i="13"/>
  <c r="L23" i="13"/>
  <c r="M23" i="13" s="1"/>
  <c r="J21" i="4"/>
  <c r="K22" i="5"/>
  <c r="L22" i="5"/>
  <c r="M22" i="5" s="1"/>
  <c r="J23" i="5"/>
  <c r="L44" i="6"/>
  <c r="M44" i="6" s="1"/>
  <c r="J45" i="6"/>
  <c r="K44" i="6"/>
  <c r="L70" i="5"/>
  <c r="M70" i="5" s="1"/>
  <c r="J71" i="5"/>
  <c r="K70" i="5"/>
  <c r="L21" i="6"/>
  <c r="M21" i="6" s="1"/>
  <c r="J22" i="6"/>
  <c r="K21" i="6"/>
  <c r="K101" i="5"/>
  <c r="J102" i="5"/>
  <c r="L101" i="5"/>
  <c r="M101" i="5" s="1"/>
  <c r="L134" i="5"/>
  <c r="M134" i="5" s="1"/>
  <c r="K134" i="5"/>
  <c r="J135" i="5"/>
  <c r="J37" i="5"/>
  <c r="L36" i="5"/>
  <c r="M36" i="5" s="1"/>
  <c r="K36" i="5"/>
  <c r="G218" i="11"/>
  <c r="K217" i="11"/>
  <c r="K240" i="11"/>
  <c r="G241" i="11"/>
  <c r="J138" i="4" l="1"/>
  <c r="K137" i="4"/>
  <c r="L137" i="4"/>
  <c r="M137" i="4" s="1"/>
  <c r="K105" i="4"/>
  <c r="L105" i="4"/>
  <c r="M105" i="4" s="1"/>
  <c r="J106" i="4"/>
  <c r="K40" i="4"/>
  <c r="L40" i="4"/>
  <c r="M40" i="4" s="1"/>
  <c r="J41" i="4"/>
  <c r="L74" i="4"/>
  <c r="M74" i="4" s="1"/>
  <c r="J75" i="4"/>
  <c r="K74" i="4"/>
  <c r="J107" i="15"/>
  <c r="L106" i="15"/>
  <c r="M106" i="15" s="1"/>
  <c r="K106" i="15"/>
  <c r="J25" i="15"/>
  <c r="L24" i="15"/>
  <c r="M24" i="15" s="1"/>
  <c r="K24" i="15"/>
  <c r="K74" i="15"/>
  <c r="J75" i="15"/>
  <c r="L74" i="15"/>
  <c r="M74" i="15" s="1"/>
  <c r="J138" i="15"/>
  <c r="L137" i="15"/>
  <c r="M137" i="15" s="1"/>
  <c r="K137" i="15"/>
  <c r="J40" i="15"/>
  <c r="L39" i="15"/>
  <c r="M39" i="15" s="1"/>
  <c r="K39" i="15"/>
  <c r="J25" i="14"/>
  <c r="L24" i="14"/>
  <c r="M24" i="14" s="1"/>
  <c r="K24" i="14"/>
  <c r="J138" i="14"/>
  <c r="L137" i="14"/>
  <c r="M137" i="14" s="1"/>
  <c r="K137" i="14"/>
  <c r="K74" i="14"/>
  <c r="J75" i="14"/>
  <c r="L74" i="14"/>
  <c r="M74" i="14" s="1"/>
  <c r="J40" i="14"/>
  <c r="L39" i="14"/>
  <c r="M39" i="14" s="1"/>
  <c r="K39" i="14"/>
  <c r="J107" i="14"/>
  <c r="L106" i="14"/>
  <c r="M106" i="14" s="1"/>
  <c r="K106" i="14"/>
  <c r="J138" i="13"/>
  <c r="L137" i="13"/>
  <c r="M137" i="13" s="1"/>
  <c r="K137" i="13"/>
  <c r="J42" i="13"/>
  <c r="L41" i="13"/>
  <c r="M41" i="13" s="1"/>
  <c r="K41" i="13"/>
  <c r="J75" i="13"/>
  <c r="L74" i="13"/>
  <c r="M74" i="13" s="1"/>
  <c r="K74" i="13"/>
  <c r="J25" i="13"/>
  <c r="L24" i="13"/>
  <c r="M24" i="13" s="1"/>
  <c r="K24" i="13"/>
  <c r="J107" i="13"/>
  <c r="L106" i="13"/>
  <c r="M106" i="13" s="1"/>
  <c r="K106" i="13"/>
  <c r="J72" i="5"/>
  <c r="L71" i="5"/>
  <c r="M71" i="5" s="1"/>
  <c r="K71" i="5"/>
  <c r="L37" i="5"/>
  <c r="M37" i="5" s="1"/>
  <c r="J38" i="5"/>
  <c r="K37" i="5"/>
  <c r="J103" i="5"/>
  <c r="K102" i="5"/>
  <c r="L102" i="5"/>
  <c r="M102" i="5" s="1"/>
  <c r="J24" i="5"/>
  <c r="J25" i="5" s="1"/>
  <c r="L23" i="5"/>
  <c r="M23" i="5" s="1"/>
  <c r="K23" i="5"/>
  <c r="J22" i="4"/>
  <c r="K21" i="4"/>
  <c r="L21" i="4"/>
  <c r="M21" i="4" s="1"/>
  <c r="K135" i="5"/>
  <c r="L135" i="5"/>
  <c r="M135" i="5" s="1"/>
  <c r="J136" i="5"/>
  <c r="L22" i="6"/>
  <c r="M22" i="6" s="1"/>
  <c r="J23" i="6"/>
  <c r="K22" i="6"/>
  <c r="J46" i="6"/>
  <c r="L45" i="6"/>
  <c r="M45" i="6" s="1"/>
  <c r="K45" i="6"/>
  <c r="K241" i="11"/>
  <c r="G242" i="11"/>
  <c r="G219" i="11"/>
  <c r="K218" i="11"/>
  <c r="L25" i="5" l="1"/>
  <c r="M25" i="5" s="1"/>
  <c r="J26" i="5"/>
  <c r="K25" i="5"/>
  <c r="J42" i="4"/>
  <c r="L41" i="4"/>
  <c r="M41" i="4" s="1"/>
  <c r="K41" i="4"/>
  <c r="J107" i="4"/>
  <c r="L106" i="4"/>
  <c r="M106" i="4" s="1"/>
  <c r="K106" i="4"/>
  <c r="J76" i="4"/>
  <c r="L75" i="4"/>
  <c r="M75" i="4" s="1"/>
  <c r="K75" i="4"/>
  <c r="J139" i="4"/>
  <c r="L138" i="4"/>
  <c r="M138" i="4" s="1"/>
  <c r="K138" i="4"/>
  <c r="J76" i="15"/>
  <c r="L75" i="15"/>
  <c r="M75" i="15" s="1"/>
  <c r="K75" i="15"/>
  <c r="L25" i="15"/>
  <c r="M25" i="15" s="1"/>
  <c r="K25" i="15"/>
  <c r="J26" i="15"/>
  <c r="J139" i="15"/>
  <c r="L138" i="15"/>
  <c r="M138" i="15" s="1"/>
  <c r="K138" i="15"/>
  <c r="J41" i="15"/>
  <c r="L40" i="15"/>
  <c r="M40" i="15" s="1"/>
  <c r="K40" i="15"/>
  <c r="L107" i="15"/>
  <c r="M107" i="15" s="1"/>
  <c r="K107" i="15"/>
  <c r="J108" i="15"/>
  <c r="J139" i="14"/>
  <c r="L138" i="14"/>
  <c r="M138" i="14" s="1"/>
  <c r="K138" i="14"/>
  <c r="J76" i="14"/>
  <c r="L75" i="14"/>
  <c r="M75" i="14" s="1"/>
  <c r="K75" i="14"/>
  <c r="K40" i="14"/>
  <c r="L40" i="14"/>
  <c r="M40" i="14" s="1"/>
  <c r="J41" i="14"/>
  <c r="L107" i="14"/>
  <c r="M107" i="14" s="1"/>
  <c r="K107" i="14"/>
  <c r="J108" i="14"/>
  <c r="L25" i="14"/>
  <c r="M25" i="14" s="1"/>
  <c r="K25" i="14"/>
  <c r="J26" i="14"/>
  <c r="L42" i="13"/>
  <c r="M42" i="13" s="1"/>
  <c r="K42" i="13"/>
  <c r="J43" i="13"/>
  <c r="L25" i="13"/>
  <c r="M25" i="13" s="1"/>
  <c r="K25" i="13"/>
  <c r="J26" i="13"/>
  <c r="J76" i="13"/>
  <c r="L75" i="13"/>
  <c r="M75" i="13" s="1"/>
  <c r="K75" i="13"/>
  <c r="L107" i="13"/>
  <c r="M107" i="13" s="1"/>
  <c r="K107" i="13"/>
  <c r="J108" i="13"/>
  <c r="J139" i="13"/>
  <c r="L138" i="13"/>
  <c r="M138" i="13" s="1"/>
  <c r="K138" i="13"/>
  <c r="K103" i="5"/>
  <c r="J104" i="5"/>
  <c r="L103" i="5"/>
  <c r="M103" i="5" s="1"/>
  <c r="L22" i="4"/>
  <c r="M22" i="4" s="1"/>
  <c r="K22" i="4"/>
  <c r="J23" i="4"/>
  <c r="K23" i="6"/>
  <c r="J24" i="6"/>
  <c r="L23" i="6"/>
  <c r="M23" i="6" s="1"/>
  <c r="J39" i="5"/>
  <c r="L38" i="5"/>
  <c r="M38" i="5" s="1"/>
  <c r="K38" i="5"/>
  <c r="K46" i="6"/>
  <c r="J47" i="6"/>
  <c r="L46" i="6"/>
  <c r="M46" i="6" s="1"/>
  <c r="J137" i="5"/>
  <c r="L136" i="5"/>
  <c r="M136" i="5" s="1"/>
  <c r="K136" i="5"/>
  <c r="K24" i="5"/>
  <c r="L24" i="5"/>
  <c r="M24" i="5" s="1"/>
  <c r="K72" i="5"/>
  <c r="L72" i="5"/>
  <c r="M72" i="5" s="1"/>
  <c r="J73" i="5"/>
  <c r="K219" i="11"/>
  <c r="G220" i="11"/>
  <c r="G243" i="11"/>
  <c r="K242" i="11"/>
  <c r="K26" i="5" l="1"/>
  <c r="L26" i="5"/>
  <c r="M26" i="5" s="1"/>
  <c r="J27" i="5"/>
  <c r="K139" i="4"/>
  <c r="L139" i="4"/>
  <c r="M139" i="4" s="1"/>
  <c r="J140" i="4"/>
  <c r="K76" i="4"/>
  <c r="L76" i="4"/>
  <c r="M76" i="4" s="1"/>
  <c r="J77" i="4"/>
  <c r="L107" i="4"/>
  <c r="M107" i="4" s="1"/>
  <c r="J108" i="4"/>
  <c r="K107" i="4"/>
  <c r="J43" i="4"/>
  <c r="L42" i="4"/>
  <c r="M42" i="4" s="1"/>
  <c r="K42" i="4"/>
  <c r="J27" i="15"/>
  <c r="L26" i="15"/>
  <c r="M26" i="15" s="1"/>
  <c r="K26" i="15"/>
  <c r="J42" i="15"/>
  <c r="L41" i="15"/>
  <c r="M41" i="15" s="1"/>
  <c r="K41" i="15"/>
  <c r="L139" i="15"/>
  <c r="M139" i="15" s="1"/>
  <c r="J140" i="15"/>
  <c r="K139" i="15"/>
  <c r="J109" i="15"/>
  <c r="L108" i="15"/>
  <c r="M108" i="15" s="1"/>
  <c r="K108" i="15"/>
  <c r="K76" i="15"/>
  <c r="J77" i="15"/>
  <c r="L76" i="15"/>
  <c r="M76" i="15" s="1"/>
  <c r="J109" i="14"/>
  <c r="K108" i="14"/>
  <c r="L108" i="14"/>
  <c r="M108" i="14" s="1"/>
  <c r="J42" i="14"/>
  <c r="L41" i="14"/>
  <c r="M41" i="14" s="1"/>
  <c r="K41" i="14"/>
  <c r="K76" i="14"/>
  <c r="J77" i="14"/>
  <c r="L76" i="14"/>
  <c r="M76" i="14" s="1"/>
  <c r="J27" i="14"/>
  <c r="K26" i="14"/>
  <c r="L26" i="14"/>
  <c r="M26" i="14" s="1"/>
  <c r="L139" i="14"/>
  <c r="M139" i="14" s="1"/>
  <c r="J140" i="14"/>
  <c r="K139" i="14"/>
  <c r="J109" i="13"/>
  <c r="L108" i="13"/>
  <c r="M108" i="13" s="1"/>
  <c r="K108" i="13"/>
  <c r="J27" i="13"/>
  <c r="L26" i="13"/>
  <c r="M26" i="13" s="1"/>
  <c r="K26" i="13"/>
  <c r="J44" i="13"/>
  <c r="L43" i="13"/>
  <c r="M43" i="13" s="1"/>
  <c r="K43" i="13"/>
  <c r="K76" i="13"/>
  <c r="J77" i="13"/>
  <c r="L76" i="13"/>
  <c r="M76" i="13" s="1"/>
  <c r="J140" i="13"/>
  <c r="L139" i="13"/>
  <c r="M139" i="13" s="1"/>
  <c r="K139" i="13"/>
  <c r="K73" i="5"/>
  <c r="L73" i="5"/>
  <c r="M73" i="5" s="1"/>
  <c r="J74" i="5"/>
  <c r="K137" i="5"/>
  <c r="J138" i="5"/>
  <c r="L137" i="5"/>
  <c r="M137" i="5" s="1"/>
  <c r="J40" i="5"/>
  <c r="L39" i="5"/>
  <c r="M39" i="5" s="1"/>
  <c r="K39" i="5"/>
  <c r="L24" i="6"/>
  <c r="M24" i="6" s="1"/>
  <c r="K24" i="6"/>
  <c r="J25" i="6"/>
  <c r="L104" i="5"/>
  <c r="M104" i="5" s="1"/>
  <c r="J105" i="5"/>
  <c r="K104" i="5"/>
  <c r="J48" i="6"/>
  <c r="L47" i="6"/>
  <c r="M47" i="6" s="1"/>
  <c r="K47" i="6"/>
  <c r="J24" i="4"/>
  <c r="L23" i="4"/>
  <c r="M23" i="4" s="1"/>
  <c r="K23" i="4"/>
  <c r="K220" i="11"/>
  <c r="K243" i="11"/>
  <c r="G244" i="11"/>
  <c r="G221" i="11"/>
  <c r="K27" i="5" l="1"/>
  <c r="L27" i="5"/>
  <c r="M27" i="5" s="1"/>
  <c r="J28" i="5"/>
  <c r="K108" i="4"/>
  <c r="J109" i="4"/>
  <c r="L108" i="4"/>
  <c r="M108" i="4" s="1"/>
  <c r="J141" i="4"/>
  <c r="L140" i="4"/>
  <c r="M140" i="4" s="1"/>
  <c r="K140" i="4"/>
  <c r="K43" i="4"/>
  <c r="L43" i="4"/>
  <c r="M43" i="4" s="1"/>
  <c r="J44" i="4"/>
  <c r="J78" i="4"/>
  <c r="L77" i="4"/>
  <c r="M77" i="4" s="1"/>
  <c r="K77" i="4"/>
  <c r="L42" i="15"/>
  <c r="M42" i="15" s="1"/>
  <c r="K42" i="15"/>
  <c r="J43" i="15"/>
  <c r="J78" i="15"/>
  <c r="L77" i="15"/>
  <c r="M77" i="15" s="1"/>
  <c r="K77" i="15"/>
  <c r="J110" i="15"/>
  <c r="L109" i="15"/>
  <c r="M109" i="15" s="1"/>
  <c r="K109" i="15"/>
  <c r="J141" i="15"/>
  <c r="L140" i="15"/>
  <c r="M140" i="15" s="1"/>
  <c r="K140" i="15"/>
  <c r="J28" i="15"/>
  <c r="L27" i="15"/>
  <c r="M27" i="15" s="1"/>
  <c r="K27" i="15"/>
  <c r="J28" i="14"/>
  <c r="L27" i="14"/>
  <c r="M27" i="14" s="1"/>
  <c r="K27" i="14"/>
  <c r="J78" i="14"/>
  <c r="L77" i="14"/>
  <c r="M77" i="14" s="1"/>
  <c r="K77" i="14"/>
  <c r="L42" i="14"/>
  <c r="M42" i="14" s="1"/>
  <c r="K42" i="14"/>
  <c r="J43" i="14"/>
  <c r="J141" i="14"/>
  <c r="L140" i="14"/>
  <c r="M140" i="14" s="1"/>
  <c r="K140" i="14"/>
  <c r="J110" i="14"/>
  <c r="L109" i="14"/>
  <c r="M109" i="14" s="1"/>
  <c r="K109" i="14"/>
  <c r="J78" i="13"/>
  <c r="L77" i="13"/>
  <c r="M77" i="13" s="1"/>
  <c r="K77" i="13"/>
  <c r="L44" i="13"/>
  <c r="M44" i="13" s="1"/>
  <c r="K44" i="13"/>
  <c r="J45" i="13"/>
  <c r="J28" i="13"/>
  <c r="L27" i="13"/>
  <c r="M27" i="13" s="1"/>
  <c r="K27" i="13"/>
  <c r="J141" i="13"/>
  <c r="L140" i="13"/>
  <c r="M140" i="13" s="1"/>
  <c r="K140" i="13"/>
  <c r="J110" i="13"/>
  <c r="L109" i="13"/>
  <c r="M109" i="13" s="1"/>
  <c r="K109" i="13"/>
  <c r="K74" i="5"/>
  <c r="L74" i="5"/>
  <c r="M74" i="5" s="1"/>
  <c r="J75" i="5"/>
  <c r="K48" i="6"/>
  <c r="J49" i="6"/>
  <c r="L48" i="6"/>
  <c r="M48" i="6" s="1"/>
  <c r="K24" i="4"/>
  <c r="L24" i="4"/>
  <c r="M24" i="4" s="1"/>
  <c r="J25" i="4"/>
  <c r="K40" i="5"/>
  <c r="L40" i="5"/>
  <c r="M40" i="5" s="1"/>
  <c r="J41" i="5"/>
  <c r="L138" i="5"/>
  <c r="M138" i="5" s="1"/>
  <c r="J139" i="5"/>
  <c r="K138" i="5"/>
  <c r="J106" i="5"/>
  <c r="K105" i="5"/>
  <c r="L105" i="5"/>
  <c r="M105" i="5" s="1"/>
  <c r="J26" i="6"/>
  <c r="K25" i="6"/>
  <c r="L25" i="6"/>
  <c r="M25" i="6" s="1"/>
  <c r="K221" i="11"/>
  <c r="K244" i="11"/>
  <c r="G245" i="11"/>
  <c r="G222" i="11"/>
  <c r="L28" i="5" l="1"/>
  <c r="M28" i="5" s="1"/>
  <c r="K28" i="5"/>
  <c r="J29" i="5"/>
  <c r="L78" i="4"/>
  <c r="M78" i="4" s="1"/>
  <c r="K78" i="4"/>
  <c r="J79" i="4"/>
  <c r="J45" i="4"/>
  <c r="L44" i="4"/>
  <c r="M44" i="4" s="1"/>
  <c r="K44" i="4"/>
  <c r="L141" i="4"/>
  <c r="M141" i="4" s="1"/>
  <c r="K141" i="4"/>
  <c r="J142" i="4"/>
  <c r="J110" i="4"/>
  <c r="L109" i="4"/>
  <c r="M109" i="4" s="1"/>
  <c r="K109" i="4"/>
  <c r="L78" i="15"/>
  <c r="M78" i="15" s="1"/>
  <c r="K78" i="15"/>
  <c r="J79" i="15"/>
  <c r="J44" i="15"/>
  <c r="L43" i="15"/>
  <c r="M43" i="15" s="1"/>
  <c r="K43" i="15"/>
  <c r="L141" i="15"/>
  <c r="M141" i="15" s="1"/>
  <c r="K141" i="15"/>
  <c r="J142" i="15"/>
  <c r="L110" i="15"/>
  <c r="M110" i="15" s="1"/>
  <c r="K110" i="15"/>
  <c r="J111" i="15"/>
  <c r="L28" i="15"/>
  <c r="M28" i="15" s="1"/>
  <c r="J29" i="15"/>
  <c r="K28" i="15"/>
  <c r="J44" i="14"/>
  <c r="L43" i="14"/>
  <c r="M43" i="14" s="1"/>
  <c r="K43" i="14"/>
  <c r="L78" i="14"/>
  <c r="M78" i="14" s="1"/>
  <c r="K78" i="14"/>
  <c r="J79" i="14"/>
  <c r="L141" i="14"/>
  <c r="M141" i="14" s="1"/>
  <c r="K141" i="14"/>
  <c r="J142" i="14"/>
  <c r="J111" i="14"/>
  <c r="K110" i="14"/>
  <c r="L110" i="14"/>
  <c r="M110" i="14" s="1"/>
  <c r="L28" i="14"/>
  <c r="M28" i="14" s="1"/>
  <c r="K28" i="14"/>
  <c r="J29" i="14"/>
  <c r="L141" i="13"/>
  <c r="M141" i="13" s="1"/>
  <c r="K141" i="13"/>
  <c r="J142" i="13"/>
  <c r="L28" i="13"/>
  <c r="M28" i="13" s="1"/>
  <c r="J29" i="13"/>
  <c r="K28" i="13"/>
  <c r="J46" i="13"/>
  <c r="L45" i="13"/>
  <c r="M45" i="13" s="1"/>
  <c r="K45" i="13"/>
  <c r="J111" i="13"/>
  <c r="K110" i="13"/>
  <c r="L110" i="13"/>
  <c r="M110" i="13" s="1"/>
  <c r="L78" i="13"/>
  <c r="M78" i="13" s="1"/>
  <c r="K78" i="13"/>
  <c r="J79" i="13"/>
  <c r="J107" i="5"/>
  <c r="K106" i="5"/>
  <c r="L106" i="5"/>
  <c r="M106" i="5" s="1"/>
  <c r="K49" i="6"/>
  <c r="L49" i="6"/>
  <c r="M49" i="6" s="1"/>
  <c r="J50" i="6"/>
  <c r="J27" i="6"/>
  <c r="L26" i="6"/>
  <c r="M26" i="6" s="1"/>
  <c r="K26" i="6"/>
  <c r="J140" i="5"/>
  <c r="L139" i="5"/>
  <c r="M139" i="5" s="1"/>
  <c r="K139" i="5"/>
  <c r="L75" i="5"/>
  <c r="M75" i="5" s="1"/>
  <c r="J76" i="5"/>
  <c r="K75" i="5"/>
  <c r="K41" i="5"/>
  <c r="J42" i="5"/>
  <c r="L41" i="5"/>
  <c r="M41" i="5" s="1"/>
  <c r="K25" i="4"/>
  <c r="J26" i="4"/>
  <c r="L25" i="4"/>
  <c r="M25" i="4" s="1"/>
  <c r="G246" i="11"/>
  <c r="K222" i="11"/>
  <c r="G223" i="11"/>
  <c r="K245" i="11"/>
  <c r="K29" i="5" l="1"/>
  <c r="J30" i="5"/>
  <c r="L29" i="5"/>
  <c r="M29" i="5" s="1"/>
  <c r="L110" i="4"/>
  <c r="M110" i="4" s="1"/>
  <c r="J111" i="4"/>
  <c r="K110" i="4"/>
  <c r="J143" i="4"/>
  <c r="L142" i="4"/>
  <c r="M142" i="4" s="1"/>
  <c r="K142" i="4"/>
  <c r="K79" i="4"/>
  <c r="J80" i="4"/>
  <c r="L79" i="4"/>
  <c r="M79" i="4" s="1"/>
  <c r="J46" i="4"/>
  <c r="L45" i="4"/>
  <c r="M45" i="4" s="1"/>
  <c r="K45" i="4"/>
  <c r="L44" i="15"/>
  <c r="M44" i="15" s="1"/>
  <c r="K44" i="15"/>
  <c r="J45" i="15"/>
  <c r="J112" i="15"/>
  <c r="L111" i="15"/>
  <c r="M111" i="15" s="1"/>
  <c r="K111" i="15"/>
  <c r="J143" i="15"/>
  <c r="L142" i="15"/>
  <c r="M142" i="15" s="1"/>
  <c r="K142" i="15"/>
  <c r="K79" i="15"/>
  <c r="J80" i="15"/>
  <c r="L79" i="15"/>
  <c r="M79" i="15" s="1"/>
  <c r="J30" i="15"/>
  <c r="L29" i="15"/>
  <c r="M29" i="15" s="1"/>
  <c r="K29" i="15"/>
  <c r="J143" i="14"/>
  <c r="L142" i="14"/>
  <c r="M142" i="14" s="1"/>
  <c r="K142" i="14"/>
  <c r="J30" i="14"/>
  <c r="L29" i="14"/>
  <c r="M29" i="14" s="1"/>
  <c r="K29" i="14"/>
  <c r="J112" i="14"/>
  <c r="L111" i="14"/>
  <c r="M111" i="14" s="1"/>
  <c r="K111" i="14"/>
  <c r="K79" i="14"/>
  <c r="J80" i="14"/>
  <c r="L79" i="14"/>
  <c r="M79" i="14" s="1"/>
  <c r="L44" i="14"/>
  <c r="M44" i="14" s="1"/>
  <c r="J45" i="14"/>
  <c r="K44" i="14"/>
  <c r="J30" i="13"/>
  <c r="L29" i="13"/>
  <c r="M29" i="13" s="1"/>
  <c r="K29" i="13"/>
  <c r="J47" i="13"/>
  <c r="L46" i="13"/>
  <c r="M46" i="13" s="1"/>
  <c r="K46" i="13"/>
  <c r="J80" i="13"/>
  <c r="L79" i="13"/>
  <c r="M79" i="13" s="1"/>
  <c r="K79" i="13"/>
  <c r="J143" i="13"/>
  <c r="L142" i="13"/>
  <c r="M142" i="13" s="1"/>
  <c r="K142" i="13"/>
  <c r="J112" i="13"/>
  <c r="L111" i="13"/>
  <c r="M111" i="13" s="1"/>
  <c r="K111" i="13"/>
  <c r="J141" i="5"/>
  <c r="K140" i="5"/>
  <c r="L140" i="5"/>
  <c r="M140" i="5" s="1"/>
  <c r="J43" i="5"/>
  <c r="L42" i="5"/>
  <c r="M42" i="5" s="1"/>
  <c r="K42" i="5"/>
  <c r="J108" i="5"/>
  <c r="K107" i="5"/>
  <c r="L107" i="5"/>
  <c r="M107" i="5" s="1"/>
  <c r="J27" i="4"/>
  <c r="L26" i="4"/>
  <c r="M26" i="4" s="1"/>
  <c r="K26" i="4"/>
  <c r="J77" i="5"/>
  <c r="K76" i="5"/>
  <c r="L76" i="5"/>
  <c r="M76" i="5" s="1"/>
  <c r="L27" i="6"/>
  <c r="M27" i="6" s="1"/>
  <c r="J28" i="6"/>
  <c r="K27" i="6"/>
  <c r="L50" i="6"/>
  <c r="M50" i="6" s="1"/>
  <c r="K50" i="6"/>
  <c r="J51" i="6"/>
  <c r="K246" i="11"/>
  <c r="K223" i="11"/>
  <c r="G224" i="11"/>
  <c r="G247" i="11"/>
  <c r="L30" i="5" l="1"/>
  <c r="M30" i="5" s="1"/>
  <c r="K30" i="5"/>
  <c r="J31" i="5"/>
  <c r="K46" i="4"/>
  <c r="J47" i="4"/>
  <c r="L46" i="4"/>
  <c r="M46" i="4" s="1"/>
  <c r="J81" i="4"/>
  <c r="L80" i="4"/>
  <c r="M80" i="4" s="1"/>
  <c r="K80" i="4"/>
  <c r="L143" i="4"/>
  <c r="M143" i="4" s="1"/>
  <c r="J144" i="4"/>
  <c r="K143" i="4"/>
  <c r="J112" i="4"/>
  <c r="L111" i="4"/>
  <c r="M111" i="4" s="1"/>
  <c r="K111" i="4"/>
  <c r="L143" i="15"/>
  <c r="M143" i="15" s="1"/>
  <c r="K143" i="15"/>
  <c r="J144" i="15"/>
  <c r="L112" i="15"/>
  <c r="M112" i="15" s="1"/>
  <c r="K112" i="15"/>
  <c r="J113" i="15"/>
  <c r="K45" i="15"/>
  <c r="J46" i="15"/>
  <c r="L45" i="15"/>
  <c r="M45" i="15" s="1"/>
  <c r="J81" i="15"/>
  <c r="L80" i="15"/>
  <c r="M80" i="15" s="1"/>
  <c r="K80" i="15"/>
  <c r="L30" i="15"/>
  <c r="M30" i="15" s="1"/>
  <c r="K30" i="15"/>
  <c r="J31" i="15"/>
  <c r="J81" i="14"/>
  <c r="L80" i="14"/>
  <c r="M80" i="14" s="1"/>
  <c r="K80" i="14"/>
  <c r="L112" i="14"/>
  <c r="M112" i="14" s="1"/>
  <c r="J113" i="14"/>
  <c r="K112" i="14"/>
  <c r="K45" i="14"/>
  <c r="L45" i="14"/>
  <c r="M45" i="14" s="1"/>
  <c r="J46" i="14"/>
  <c r="L30" i="14"/>
  <c r="M30" i="14" s="1"/>
  <c r="K30" i="14"/>
  <c r="J31" i="14"/>
  <c r="L143" i="14"/>
  <c r="M143" i="14" s="1"/>
  <c r="K143" i="14"/>
  <c r="J144" i="14"/>
  <c r="J81" i="13"/>
  <c r="L80" i="13"/>
  <c r="M80" i="13" s="1"/>
  <c r="K80" i="13"/>
  <c r="K47" i="13"/>
  <c r="J48" i="13"/>
  <c r="L47" i="13"/>
  <c r="M47" i="13" s="1"/>
  <c r="L143" i="13"/>
  <c r="M143" i="13" s="1"/>
  <c r="K143" i="13"/>
  <c r="J144" i="13"/>
  <c r="L112" i="13"/>
  <c r="M112" i="13" s="1"/>
  <c r="K112" i="13"/>
  <c r="J113" i="13"/>
  <c r="L30" i="13"/>
  <c r="M30" i="13" s="1"/>
  <c r="K30" i="13"/>
  <c r="J31" i="13"/>
  <c r="J52" i="6"/>
  <c r="K51" i="6"/>
  <c r="L51" i="6"/>
  <c r="M51" i="6" s="1"/>
  <c r="J29" i="6"/>
  <c r="K28" i="6"/>
  <c r="L28" i="6"/>
  <c r="M28" i="6" s="1"/>
  <c r="K43" i="5"/>
  <c r="J44" i="5"/>
  <c r="L43" i="5"/>
  <c r="M43" i="5" s="1"/>
  <c r="J142" i="5"/>
  <c r="L141" i="5"/>
  <c r="M141" i="5" s="1"/>
  <c r="K141" i="5"/>
  <c r="L77" i="5"/>
  <c r="M77" i="5" s="1"/>
  <c r="J78" i="5"/>
  <c r="K77" i="5"/>
  <c r="L27" i="4"/>
  <c r="M27" i="4" s="1"/>
  <c r="J28" i="4"/>
  <c r="K27" i="4"/>
  <c r="J109" i="5"/>
  <c r="L108" i="5"/>
  <c r="M108" i="5" s="1"/>
  <c r="K108" i="5"/>
  <c r="K247" i="11"/>
  <c r="G248" i="11"/>
  <c r="G225" i="11"/>
  <c r="K224" i="11"/>
  <c r="L31" i="5" l="1"/>
  <c r="M31" i="5" s="1"/>
  <c r="K31" i="5"/>
  <c r="J32" i="5"/>
  <c r="L112" i="4"/>
  <c r="M112" i="4" s="1"/>
  <c r="K112" i="4"/>
  <c r="J113" i="4"/>
  <c r="L81" i="4"/>
  <c r="M81" i="4" s="1"/>
  <c r="J82" i="4"/>
  <c r="K81" i="4"/>
  <c r="J48" i="4"/>
  <c r="L47" i="4"/>
  <c r="M47" i="4" s="1"/>
  <c r="K47" i="4"/>
  <c r="K144" i="4"/>
  <c r="J145" i="4"/>
  <c r="L144" i="4"/>
  <c r="M144" i="4" s="1"/>
  <c r="L81" i="15"/>
  <c r="M81" i="15" s="1"/>
  <c r="J82" i="15"/>
  <c r="K81" i="15"/>
  <c r="J114" i="15"/>
  <c r="L113" i="15"/>
  <c r="M113" i="15" s="1"/>
  <c r="K113" i="15"/>
  <c r="J47" i="15"/>
  <c r="L46" i="15"/>
  <c r="M46" i="15" s="1"/>
  <c r="K46" i="15"/>
  <c r="J32" i="15"/>
  <c r="L31" i="15"/>
  <c r="M31" i="15" s="1"/>
  <c r="K31" i="15"/>
  <c r="J145" i="15"/>
  <c r="L144" i="15"/>
  <c r="M144" i="15" s="1"/>
  <c r="K144" i="15"/>
  <c r="J114" i="14"/>
  <c r="L113" i="14"/>
  <c r="M113" i="14" s="1"/>
  <c r="K113" i="14"/>
  <c r="J32" i="14"/>
  <c r="L31" i="14"/>
  <c r="M31" i="14" s="1"/>
  <c r="K31" i="14"/>
  <c r="L144" i="14"/>
  <c r="M144" i="14" s="1"/>
  <c r="K144" i="14"/>
  <c r="J145" i="14"/>
  <c r="J47" i="14"/>
  <c r="L46" i="14"/>
  <c r="M46" i="14" s="1"/>
  <c r="K46" i="14"/>
  <c r="L81" i="14"/>
  <c r="M81" i="14" s="1"/>
  <c r="J82" i="14"/>
  <c r="K81" i="14"/>
  <c r="J114" i="13"/>
  <c r="L113" i="13"/>
  <c r="M113" i="13" s="1"/>
  <c r="K113" i="13"/>
  <c r="J145" i="13"/>
  <c r="L144" i="13"/>
  <c r="M144" i="13" s="1"/>
  <c r="K144" i="13"/>
  <c r="J49" i="13"/>
  <c r="L48" i="13"/>
  <c r="M48" i="13" s="1"/>
  <c r="K48" i="13"/>
  <c r="J32" i="13"/>
  <c r="L31" i="13"/>
  <c r="M31" i="13" s="1"/>
  <c r="K31" i="13"/>
  <c r="J82" i="13"/>
  <c r="L81" i="13"/>
  <c r="M81" i="13" s="1"/>
  <c r="K81" i="13"/>
  <c r="L28" i="4"/>
  <c r="M28" i="4" s="1"/>
  <c r="K28" i="4"/>
  <c r="J29" i="4"/>
  <c r="J30" i="6"/>
  <c r="K29" i="6"/>
  <c r="L29" i="6"/>
  <c r="M29" i="6" s="1"/>
  <c r="K109" i="5"/>
  <c r="L109" i="5"/>
  <c r="M109" i="5" s="1"/>
  <c r="J110" i="5"/>
  <c r="L142" i="5"/>
  <c r="M142" i="5" s="1"/>
  <c r="K142" i="5"/>
  <c r="J143" i="5"/>
  <c r="K52" i="6"/>
  <c r="J53" i="6"/>
  <c r="L52" i="6"/>
  <c r="M52" i="6" s="1"/>
  <c r="K44" i="5"/>
  <c r="J45" i="5"/>
  <c r="L44" i="5"/>
  <c r="M44" i="5" s="1"/>
  <c r="L78" i="5"/>
  <c r="M78" i="5" s="1"/>
  <c r="J79" i="5"/>
  <c r="K78" i="5"/>
  <c r="G226" i="11"/>
  <c r="K248" i="11"/>
  <c r="G249" i="11"/>
  <c r="K225" i="11"/>
  <c r="K32" i="5" l="1"/>
  <c r="L32" i="5"/>
  <c r="M32" i="5" s="1"/>
  <c r="J146" i="4"/>
  <c r="L145" i="4"/>
  <c r="M145" i="4" s="1"/>
  <c r="K145" i="4"/>
  <c r="J114" i="4"/>
  <c r="L113" i="4"/>
  <c r="M113" i="4" s="1"/>
  <c r="K113" i="4"/>
  <c r="J49" i="4"/>
  <c r="L48" i="4"/>
  <c r="M48" i="4" s="1"/>
  <c r="K48" i="4"/>
  <c r="J83" i="4"/>
  <c r="L82" i="4"/>
  <c r="M82" i="4" s="1"/>
  <c r="K82" i="4"/>
  <c r="K47" i="15"/>
  <c r="J48" i="15"/>
  <c r="L47" i="15"/>
  <c r="M47" i="15" s="1"/>
  <c r="L114" i="15"/>
  <c r="M114" i="15" s="1"/>
  <c r="K114" i="15"/>
  <c r="J115" i="15"/>
  <c r="J83" i="15"/>
  <c r="L82" i="15"/>
  <c r="M82" i="15" s="1"/>
  <c r="K82" i="15"/>
  <c r="L32" i="15"/>
  <c r="M32" i="15" s="1"/>
  <c r="K32" i="15"/>
  <c r="J146" i="15"/>
  <c r="L145" i="15"/>
  <c r="M145" i="15" s="1"/>
  <c r="K145" i="15"/>
  <c r="K47" i="14"/>
  <c r="L47" i="14"/>
  <c r="M47" i="14" s="1"/>
  <c r="J48" i="14"/>
  <c r="L32" i="14"/>
  <c r="M32" i="14" s="1"/>
  <c r="K32" i="14"/>
  <c r="J83" i="14"/>
  <c r="L82" i="14"/>
  <c r="M82" i="14" s="1"/>
  <c r="K82" i="14"/>
  <c r="J146" i="14"/>
  <c r="L145" i="14"/>
  <c r="M145" i="14" s="1"/>
  <c r="K145" i="14"/>
  <c r="L114" i="14"/>
  <c r="M114" i="14" s="1"/>
  <c r="K114" i="14"/>
  <c r="J115" i="14"/>
  <c r="L49" i="13"/>
  <c r="M49" i="13" s="1"/>
  <c r="K49" i="13"/>
  <c r="J50" i="13"/>
  <c r="J146" i="13"/>
  <c r="L145" i="13"/>
  <c r="M145" i="13" s="1"/>
  <c r="K145" i="13"/>
  <c r="L32" i="13"/>
  <c r="M32" i="13" s="1"/>
  <c r="K32" i="13"/>
  <c r="J83" i="13"/>
  <c r="L82" i="13"/>
  <c r="M82" i="13" s="1"/>
  <c r="K82" i="13"/>
  <c r="L114" i="13"/>
  <c r="M114" i="13" s="1"/>
  <c r="K114" i="13"/>
  <c r="J115" i="13"/>
  <c r="K110" i="5"/>
  <c r="J111" i="5"/>
  <c r="L110" i="5"/>
  <c r="M110" i="5" s="1"/>
  <c r="L29" i="4"/>
  <c r="M29" i="4" s="1"/>
  <c r="J30" i="4"/>
  <c r="K29" i="4"/>
  <c r="K79" i="5"/>
  <c r="L79" i="5"/>
  <c r="M79" i="5" s="1"/>
  <c r="J80" i="5"/>
  <c r="L45" i="5"/>
  <c r="M45" i="5" s="1"/>
  <c r="J46" i="5"/>
  <c r="K45" i="5"/>
  <c r="L143" i="5"/>
  <c r="M143" i="5" s="1"/>
  <c r="K143" i="5"/>
  <c r="J144" i="5"/>
  <c r="J54" i="6"/>
  <c r="K53" i="6"/>
  <c r="L53" i="6"/>
  <c r="M53" i="6" s="1"/>
  <c r="K30" i="6"/>
  <c r="J31" i="6"/>
  <c r="L30" i="6"/>
  <c r="M30" i="6" s="1"/>
  <c r="G250" i="11"/>
  <c r="G227" i="11"/>
  <c r="K249" i="11"/>
  <c r="K226" i="11"/>
  <c r="L83" i="4" l="1"/>
  <c r="M83" i="4" s="1"/>
  <c r="K83" i="4"/>
  <c r="J84" i="4"/>
  <c r="K49" i="4"/>
  <c r="L49" i="4"/>
  <c r="M49" i="4" s="1"/>
  <c r="J50" i="4"/>
  <c r="L114" i="4"/>
  <c r="M114" i="4" s="1"/>
  <c r="K114" i="4"/>
  <c r="J115" i="4"/>
  <c r="K146" i="4"/>
  <c r="L146" i="4"/>
  <c r="M146" i="4" s="1"/>
  <c r="J147" i="4"/>
  <c r="L83" i="15"/>
  <c r="M83" i="15" s="1"/>
  <c r="K83" i="15"/>
  <c r="J84" i="15"/>
  <c r="J116" i="15"/>
  <c r="L115" i="15"/>
  <c r="M115" i="15" s="1"/>
  <c r="K115" i="15"/>
  <c r="K146" i="15"/>
  <c r="J147" i="15"/>
  <c r="L146" i="15"/>
  <c r="M146" i="15" s="1"/>
  <c r="J49" i="15"/>
  <c r="L48" i="15"/>
  <c r="M48" i="15" s="1"/>
  <c r="K48" i="15"/>
  <c r="J49" i="14"/>
  <c r="L48" i="14"/>
  <c r="M48" i="14" s="1"/>
  <c r="K48" i="14"/>
  <c r="K146" i="14"/>
  <c r="L146" i="14"/>
  <c r="M146" i="14" s="1"/>
  <c r="J147" i="14"/>
  <c r="L83" i="14"/>
  <c r="M83" i="14" s="1"/>
  <c r="K83" i="14"/>
  <c r="J84" i="14"/>
  <c r="K115" i="14"/>
  <c r="J116" i="14"/>
  <c r="L115" i="14"/>
  <c r="M115" i="14" s="1"/>
  <c r="J51" i="13"/>
  <c r="L50" i="13"/>
  <c r="M50" i="13" s="1"/>
  <c r="K50" i="13"/>
  <c r="L83" i="13"/>
  <c r="M83" i="13" s="1"/>
  <c r="K83" i="13"/>
  <c r="J84" i="13"/>
  <c r="K146" i="13"/>
  <c r="J147" i="13"/>
  <c r="L146" i="13"/>
  <c r="M146" i="13" s="1"/>
  <c r="J116" i="13"/>
  <c r="L115" i="13"/>
  <c r="M115" i="13" s="1"/>
  <c r="K115" i="13"/>
  <c r="J81" i="5"/>
  <c r="L80" i="5"/>
  <c r="M80" i="5" s="1"/>
  <c r="K80" i="5"/>
  <c r="J145" i="5"/>
  <c r="L144" i="5"/>
  <c r="M144" i="5" s="1"/>
  <c r="K144" i="5"/>
  <c r="J112" i="5"/>
  <c r="K111" i="5"/>
  <c r="L111" i="5"/>
  <c r="M111" i="5" s="1"/>
  <c r="L54" i="6"/>
  <c r="M54" i="6" s="1"/>
  <c r="K54" i="6"/>
  <c r="J55" i="6"/>
  <c r="L30" i="4"/>
  <c r="M30" i="4" s="1"/>
  <c r="K30" i="4"/>
  <c r="J31" i="4"/>
  <c r="K31" i="6"/>
  <c r="L31" i="6"/>
  <c r="M31" i="6" s="1"/>
  <c r="J32" i="6"/>
  <c r="K46" i="5"/>
  <c r="L46" i="5"/>
  <c r="M46" i="5" s="1"/>
  <c r="J47" i="5"/>
  <c r="K250" i="11"/>
  <c r="K227" i="11"/>
  <c r="G251" i="11"/>
  <c r="G228" i="11"/>
  <c r="J51" i="4" l="1"/>
  <c r="L50" i="4"/>
  <c r="M50" i="4" s="1"/>
  <c r="K50" i="4"/>
  <c r="J85" i="4"/>
  <c r="L84" i="4"/>
  <c r="M84" i="4" s="1"/>
  <c r="K84" i="4"/>
  <c r="J148" i="4"/>
  <c r="L147" i="4"/>
  <c r="M147" i="4" s="1"/>
  <c r="K147" i="4"/>
  <c r="K115" i="4"/>
  <c r="L115" i="4"/>
  <c r="M115" i="4" s="1"/>
  <c r="J116" i="4"/>
  <c r="J148" i="15"/>
  <c r="L147" i="15"/>
  <c r="M147" i="15" s="1"/>
  <c r="K147" i="15"/>
  <c r="L49" i="15"/>
  <c r="M49" i="15" s="1"/>
  <c r="K49" i="15"/>
  <c r="J50" i="15"/>
  <c r="J117" i="15"/>
  <c r="L116" i="15"/>
  <c r="M116" i="15" s="1"/>
  <c r="K116" i="15"/>
  <c r="J85" i="15"/>
  <c r="L84" i="15"/>
  <c r="M84" i="15" s="1"/>
  <c r="K84" i="15"/>
  <c r="J117" i="14"/>
  <c r="L116" i="14"/>
  <c r="M116" i="14" s="1"/>
  <c r="K116" i="14"/>
  <c r="J148" i="14"/>
  <c r="L147" i="14"/>
  <c r="M147" i="14" s="1"/>
  <c r="K147" i="14"/>
  <c r="J85" i="14"/>
  <c r="L84" i="14"/>
  <c r="M84" i="14" s="1"/>
  <c r="K84" i="14"/>
  <c r="L49" i="14"/>
  <c r="M49" i="14" s="1"/>
  <c r="K49" i="14"/>
  <c r="J50" i="14"/>
  <c r="J117" i="13"/>
  <c r="L116" i="13"/>
  <c r="M116" i="13" s="1"/>
  <c r="K116" i="13"/>
  <c r="J148" i="13"/>
  <c r="L147" i="13"/>
  <c r="M147" i="13" s="1"/>
  <c r="K147" i="13"/>
  <c r="J85" i="13"/>
  <c r="L84" i="13"/>
  <c r="M84" i="13" s="1"/>
  <c r="K84" i="13"/>
  <c r="J52" i="13"/>
  <c r="L51" i="13"/>
  <c r="M51" i="13" s="1"/>
  <c r="K51" i="13"/>
  <c r="L32" i="6"/>
  <c r="M32" i="6" s="1"/>
  <c r="J33" i="6"/>
  <c r="K32" i="6"/>
  <c r="J146" i="5"/>
  <c r="K145" i="5"/>
  <c r="L145" i="5"/>
  <c r="M145" i="5" s="1"/>
  <c r="K31" i="4"/>
  <c r="L31" i="4"/>
  <c r="M31" i="4" s="1"/>
  <c r="J32" i="4"/>
  <c r="K47" i="5"/>
  <c r="L47" i="5"/>
  <c r="M47" i="5" s="1"/>
  <c r="J48" i="5"/>
  <c r="K55" i="6"/>
  <c r="J56" i="6"/>
  <c r="L55" i="6"/>
  <c r="M55" i="6" s="1"/>
  <c r="J113" i="5"/>
  <c r="L112" i="5"/>
  <c r="M112" i="5" s="1"/>
  <c r="K112" i="5"/>
  <c r="K81" i="5"/>
  <c r="L81" i="5"/>
  <c r="M81" i="5" s="1"/>
  <c r="J82" i="5"/>
  <c r="K251" i="11"/>
  <c r="G252" i="11"/>
  <c r="K228" i="11"/>
  <c r="G229" i="11"/>
  <c r="J117" i="4" l="1"/>
  <c r="L116" i="4"/>
  <c r="M116" i="4" s="1"/>
  <c r="K116" i="4"/>
  <c r="J149" i="4"/>
  <c r="L148" i="4"/>
  <c r="M148" i="4" s="1"/>
  <c r="K148" i="4"/>
  <c r="L85" i="4"/>
  <c r="M85" i="4" s="1"/>
  <c r="K85" i="4"/>
  <c r="J86" i="4"/>
  <c r="J52" i="4"/>
  <c r="L51" i="4"/>
  <c r="M51" i="4" s="1"/>
  <c r="K51" i="4"/>
  <c r="L85" i="15"/>
  <c r="M85" i="15" s="1"/>
  <c r="K85" i="15"/>
  <c r="J86" i="15"/>
  <c r="K117" i="15"/>
  <c r="L117" i="15"/>
  <c r="M117" i="15" s="1"/>
  <c r="J118" i="15"/>
  <c r="J51" i="15"/>
  <c r="L50" i="15"/>
  <c r="M50" i="15" s="1"/>
  <c r="K50" i="15"/>
  <c r="L148" i="15"/>
  <c r="M148" i="15" s="1"/>
  <c r="K148" i="15"/>
  <c r="J149" i="15"/>
  <c r="L85" i="14"/>
  <c r="M85" i="14" s="1"/>
  <c r="J86" i="14"/>
  <c r="K85" i="14"/>
  <c r="L148" i="14"/>
  <c r="M148" i="14" s="1"/>
  <c r="J149" i="14"/>
  <c r="K148" i="14"/>
  <c r="J51" i="14"/>
  <c r="K50" i="14"/>
  <c r="L50" i="14"/>
  <c r="M50" i="14" s="1"/>
  <c r="K117" i="14"/>
  <c r="L117" i="14"/>
  <c r="M117" i="14" s="1"/>
  <c r="J118" i="14"/>
  <c r="L85" i="13"/>
  <c r="M85" i="13" s="1"/>
  <c r="K85" i="13"/>
  <c r="J86" i="13"/>
  <c r="L148" i="13"/>
  <c r="M148" i="13" s="1"/>
  <c r="K148" i="13"/>
  <c r="J149" i="13"/>
  <c r="L52" i="13"/>
  <c r="M52" i="13" s="1"/>
  <c r="J53" i="13"/>
  <c r="K52" i="13"/>
  <c r="K117" i="13"/>
  <c r="J118" i="13"/>
  <c r="L117" i="13"/>
  <c r="M117" i="13" s="1"/>
  <c r="K56" i="6"/>
  <c r="L56" i="6"/>
  <c r="M56" i="6" s="1"/>
  <c r="J57" i="6"/>
  <c r="J49" i="5"/>
  <c r="K48" i="5"/>
  <c r="L48" i="5"/>
  <c r="M48" i="5" s="1"/>
  <c r="L113" i="5"/>
  <c r="M113" i="5" s="1"/>
  <c r="K113" i="5"/>
  <c r="J114" i="5"/>
  <c r="K33" i="6"/>
  <c r="J34" i="6"/>
  <c r="L33" i="6"/>
  <c r="M33" i="6" s="1"/>
  <c r="J83" i="5"/>
  <c r="L82" i="5"/>
  <c r="M82" i="5" s="1"/>
  <c r="K82" i="5"/>
  <c r="L32" i="4"/>
  <c r="M32" i="4" s="1"/>
  <c r="K32" i="4"/>
  <c r="J147" i="5"/>
  <c r="L146" i="5"/>
  <c r="M146" i="5" s="1"/>
  <c r="K146" i="5"/>
  <c r="K252" i="11"/>
  <c r="G253" i="11"/>
  <c r="K229" i="11"/>
  <c r="G230" i="11"/>
  <c r="K149" i="4" l="1"/>
  <c r="J150" i="4"/>
  <c r="L149" i="4"/>
  <c r="M149" i="4" s="1"/>
  <c r="K52" i="4"/>
  <c r="L52" i="4"/>
  <c r="M52" i="4" s="1"/>
  <c r="J53" i="4"/>
  <c r="K86" i="4"/>
  <c r="L86" i="4"/>
  <c r="M86" i="4" s="1"/>
  <c r="J87" i="4"/>
  <c r="K117" i="4"/>
  <c r="J118" i="4"/>
  <c r="L117" i="4"/>
  <c r="M117" i="4" s="1"/>
  <c r="J150" i="15"/>
  <c r="L149" i="15"/>
  <c r="M149" i="15" s="1"/>
  <c r="K149" i="15"/>
  <c r="J52" i="15"/>
  <c r="L51" i="15"/>
  <c r="M51" i="15" s="1"/>
  <c r="K51" i="15"/>
  <c r="J119" i="15"/>
  <c r="L118" i="15"/>
  <c r="M118" i="15" s="1"/>
  <c r="K118" i="15"/>
  <c r="L86" i="15"/>
  <c r="M86" i="15" s="1"/>
  <c r="K86" i="15"/>
  <c r="J87" i="15"/>
  <c r="J52" i="14"/>
  <c r="L51" i="14"/>
  <c r="M51" i="14" s="1"/>
  <c r="K51" i="14"/>
  <c r="J119" i="14"/>
  <c r="L118" i="14"/>
  <c r="M118" i="14" s="1"/>
  <c r="K118" i="14"/>
  <c r="K149" i="14"/>
  <c r="J150" i="14"/>
  <c r="L149" i="14"/>
  <c r="M149" i="14" s="1"/>
  <c r="L86" i="14"/>
  <c r="M86" i="14" s="1"/>
  <c r="J87" i="14"/>
  <c r="K86" i="14"/>
  <c r="J54" i="13"/>
  <c r="L53" i="13"/>
  <c r="M53" i="13" s="1"/>
  <c r="K53" i="13"/>
  <c r="J119" i="13"/>
  <c r="L118" i="13"/>
  <c r="M118" i="13" s="1"/>
  <c r="K118" i="13"/>
  <c r="J150" i="13"/>
  <c r="L149" i="13"/>
  <c r="M149" i="13" s="1"/>
  <c r="K149" i="13"/>
  <c r="J87" i="13"/>
  <c r="K86" i="13"/>
  <c r="L86" i="13"/>
  <c r="M86" i="13" s="1"/>
  <c r="K83" i="5"/>
  <c r="J84" i="5"/>
  <c r="L83" i="5"/>
  <c r="M83" i="5" s="1"/>
  <c r="L57" i="6"/>
  <c r="M57" i="6" s="1"/>
  <c r="K57" i="6"/>
  <c r="J58" i="6"/>
  <c r="J35" i="6"/>
  <c r="L34" i="6"/>
  <c r="M34" i="6" s="1"/>
  <c r="K34" i="6"/>
  <c r="J148" i="5"/>
  <c r="L147" i="5"/>
  <c r="M147" i="5" s="1"/>
  <c r="K147" i="5"/>
  <c r="L49" i="5"/>
  <c r="M49" i="5" s="1"/>
  <c r="J50" i="5"/>
  <c r="K49" i="5"/>
  <c r="J115" i="5"/>
  <c r="L114" i="5"/>
  <c r="M114" i="5" s="1"/>
  <c r="K114" i="5"/>
  <c r="G231" i="11"/>
  <c r="K253" i="11"/>
  <c r="K230" i="11"/>
  <c r="G254" i="11"/>
  <c r="J119" i="4" l="1"/>
  <c r="L118" i="4"/>
  <c r="M118" i="4" s="1"/>
  <c r="K118" i="4"/>
  <c r="J88" i="4"/>
  <c r="L87" i="4"/>
  <c r="M87" i="4" s="1"/>
  <c r="K87" i="4"/>
  <c r="J54" i="4"/>
  <c r="L53" i="4"/>
  <c r="M53" i="4" s="1"/>
  <c r="K53" i="4"/>
  <c r="J151" i="4"/>
  <c r="L150" i="4"/>
  <c r="M150" i="4" s="1"/>
  <c r="K150" i="4"/>
  <c r="L119" i="15"/>
  <c r="M119" i="15" s="1"/>
  <c r="K119" i="15"/>
  <c r="J120" i="15"/>
  <c r="J88" i="15"/>
  <c r="L87" i="15"/>
  <c r="M87" i="15" s="1"/>
  <c r="K87" i="15"/>
  <c r="L52" i="15"/>
  <c r="M52" i="15" s="1"/>
  <c r="J53" i="15"/>
  <c r="K52" i="15"/>
  <c r="J151" i="15"/>
  <c r="L150" i="15"/>
  <c r="M150" i="15" s="1"/>
  <c r="K150" i="15"/>
  <c r="J151" i="14"/>
  <c r="L150" i="14"/>
  <c r="M150" i="14" s="1"/>
  <c r="K150" i="14"/>
  <c r="L119" i="14"/>
  <c r="M119" i="14" s="1"/>
  <c r="K119" i="14"/>
  <c r="J120" i="14"/>
  <c r="J88" i="14"/>
  <c r="L87" i="14"/>
  <c r="M87" i="14" s="1"/>
  <c r="K87" i="14"/>
  <c r="K52" i="14"/>
  <c r="L52" i="14"/>
  <c r="M52" i="14" s="1"/>
  <c r="J53" i="14"/>
  <c r="J151" i="13"/>
  <c r="L150" i="13"/>
  <c r="M150" i="13" s="1"/>
  <c r="K150" i="13"/>
  <c r="L119" i="13"/>
  <c r="M119" i="13" s="1"/>
  <c r="K119" i="13"/>
  <c r="J120" i="13"/>
  <c r="J88" i="13"/>
  <c r="L87" i="13"/>
  <c r="M87" i="13" s="1"/>
  <c r="K87" i="13"/>
  <c r="L54" i="13"/>
  <c r="M54" i="13" s="1"/>
  <c r="K54" i="13"/>
  <c r="J55" i="13"/>
  <c r="L148" i="5"/>
  <c r="M148" i="5" s="1"/>
  <c r="J149" i="5"/>
  <c r="K148" i="5"/>
  <c r="L50" i="5"/>
  <c r="M50" i="5" s="1"/>
  <c r="K50" i="5"/>
  <c r="J51" i="5"/>
  <c r="J85" i="5"/>
  <c r="L84" i="5"/>
  <c r="M84" i="5" s="1"/>
  <c r="K84" i="5"/>
  <c r="K115" i="5"/>
  <c r="J116" i="5"/>
  <c r="L115" i="5"/>
  <c r="M115" i="5" s="1"/>
  <c r="L35" i="6"/>
  <c r="M35" i="6" s="1"/>
  <c r="K35" i="6"/>
  <c r="J36" i="6"/>
  <c r="L58" i="6"/>
  <c r="M58" i="6" s="1"/>
  <c r="K58" i="6"/>
  <c r="J59" i="6"/>
  <c r="G232" i="11"/>
  <c r="G255" i="11"/>
  <c r="K254" i="11"/>
  <c r="K231" i="11"/>
  <c r="K151" i="4" l="1"/>
  <c r="L151" i="4"/>
  <c r="M151" i="4" s="1"/>
  <c r="J152" i="4"/>
  <c r="K88" i="4"/>
  <c r="J89" i="4"/>
  <c r="L88" i="4"/>
  <c r="M88" i="4" s="1"/>
  <c r="J55" i="4"/>
  <c r="L54" i="4"/>
  <c r="M54" i="4" s="1"/>
  <c r="K54" i="4"/>
  <c r="J120" i="4"/>
  <c r="L119" i="4"/>
  <c r="M119" i="4" s="1"/>
  <c r="K119" i="4"/>
  <c r="L151" i="15"/>
  <c r="M151" i="15" s="1"/>
  <c r="J152" i="15"/>
  <c r="K151" i="15"/>
  <c r="K88" i="15"/>
  <c r="J89" i="15"/>
  <c r="L88" i="15"/>
  <c r="M88" i="15" s="1"/>
  <c r="K120" i="15"/>
  <c r="J121" i="15"/>
  <c r="L120" i="15"/>
  <c r="M120" i="15" s="1"/>
  <c r="J54" i="15"/>
  <c r="L53" i="15"/>
  <c r="M53" i="15" s="1"/>
  <c r="K53" i="15"/>
  <c r="K88" i="14"/>
  <c r="J89" i="14"/>
  <c r="L88" i="14"/>
  <c r="M88" i="14" s="1"/>
  <c r="K120" i="14"/>
  <c r="J121" i="14"/>
  <c r="L120" i="14"/>
  <c r="M120" i="14" s="1"/>
  <c r="J54" i="14"/>
  <c r="L53" i="14"/>
  <c r="M53" i="14" s="1"/>
  <c r="K53" i="14"/>
  <c r="K151" i="14"/>
  <c r="L151" i="14"/>
  <c r="M151" i="14" s="1"/>
  <c r="J152" i="14"/>
  <c r="J56" i="13"/>
  <c r="L55" i="13"/>
  <c r="M55" i="13" s="1"/>
  <c r="K55" i="13"/>
  <c r="J121" i="13"/>
  <c r="L120" i="13"/>
  <c r="M120" i="13" s="1"/>
  <c r="K120" i="13"/>
  <c r="K88" i="13"/>
  <c r="J89" i="13"/>
  <c r="L88" i="13"/>
  <c r="M88" i="13" s="1"/>
  <c r="J152" i="13"/>
  <c r="L151" i="13"/>
  <c r="M151" i="13" s="1"/>
  <c r="K151" i="13"/>
  <c r="L59" i="6"/>
  <c r="M59" i="6" s="1"/>
  <c r="K59" i="6"/>
  <c r="J60" i="6"/>
  <c r="L116" i="5"/>
  <c r="M116" i="5" s="1"/>
  <c r="J117" i="5"/>
  <c r="K116" i="5"/>
  <c r="L149" i="5"/>
  <c r="M149" i="5" s="1"/>
  <c r="K149" i="5"/>
  <c r="J150" i="5"/>
  <c r="K85" i="5"/>
  <c r="J86" i="5"/>
  <c r="L85" i="5"/>
  <c r="M85" i="5" s="1"/>
  <c r="J52" i="5"/>
  <c r="L51" i="5"/>
  <c r="M51" i="5" s="1"/>
  <c r="K51" i="5"/>
  <c r="K36" i="6"/>
  <c r="L36" i="6"/>
  <c r="M36" i="6" s="1"/>
  <c r="J37" i="6"/>
  <c r="G233" i="11"/>
  <c r="K232" i="11"/>
  <c r="K255" i="11"/>
  <c r="G256" i="11"/>
  <c r="J121" i="4" l="1"/>
  <c r="K120" i="4"/>
  <c r="L120" i="4"/>
  <c r="M120" i="4" s="1"/>
  <c r="J90" i="4"/>
  <c r="L89" i="4"/>
  <c r="M89" i="4" s="1"/>
  <c r="K89" i="4"/>
  <c r="J153" i="4"/>
  <c r="L152" i="4"/>
  <c r="M152" i="4" s="1"/>
  <c r="K152" i="4"/>
  <c r="K55" i="4"/>
  <c r="J56" i="4"/>
  <c r="L55" i="4"/>
  <c r="M55" i="4" s="1"/>
  <c r="J90" i="15"/>
  <c r="L89" i="15"/>
  <c r="M89" i="15" s="1"/>
  <c r="K89" i="15"/>
  <c r="L54" i="15"/>
  <c r="M54" i="15" s="1"/>
  <c r="K54" i="15"/>
  <c r="J55" i="15"/>
  <c r="J122" i="15"/>
  <c r="L121" i="15"/>
  <c r="M121" i="15" s="1"/>
  <c r="K121" i="15"/>
  <c r="J153" i="15"/>
  <c r="L152" i="15"/>
  <c r="M152" i="15" s="1"/>
  <c r="K152" i="15"/>
  <c r="L54" i="14"/>
  <c r="M54" i="14" s="1"/>
  <c r="K54" i="14"/>
  <c r="J55" i="14"/>
  <c r="J122" i="14"/>
  <c r="L121" i="14"/>
  <c r="M121" i="14" s="1"/>
  <c r="K121" i="14"/>
  <c r="J153" i="14"/>
  <c r="L152" i="14"/>
  <c r="M152" i="14" s="1"/>
  <c r="K152" i="14"/>
  <c r="J90" i="14"/>
  <c r="L89" i="14"/>
  <c r="M89" i="14" s="1"/>
  <c r="K89" i="14"/>
  <c r="J90" i="13"/>
  <c r="L89" i="13"/>
  <c r="M89" i="13" s="1"/>
  <c r="K89" i="13"/>
  <c r="J153" i="13"/>
  <c r="L152" i="13"/>
  <c r="M152" i="13" s="1"/>
  <c r="K152" i="13"/>
  <c r="J122" i="13"/>
  <c r="L121" i="13"/>
  <c r="M121" i="13" s="1"/>
  <c r="K121" i="13"/>
  <c r="L56" i="13"/>
  <c r="M56" i="13" s="1"/>
  <c r="K56" i="13"/>
  <c r="J57" i="13"/>
  <c r="L37" i="6"/>
  <c r="M37" i="6" s="1"/>
  <c r="K37" i="6"/>
  <c r="J38" i="6"/>
  <c r="L52" i="5"/>
  <c r="M52" i="5" s="1"/>
  <c r="K52" i="5"/>
  <c r="J53" i="5"/>
  <c r="J151" i="5"/>
  <c r="L150" i="5"/>
  <c r="M150" i="5" s="1"/>
  <c r="K150" i="5"/>
  <c r="J118" i="5"/>
  <c r="L117" i="5"/>
  <c r="M117" i="5" s="1"/>
  <c r="K117" i="5"/>
  <c r="K60" i="6"/>
  <c r="L60" i="6"/>
  <c r="M60" i="6" s="1"/>
  <c r="J61" i="6"/>
  <c r="L86" i="5"/>
  <c r="M86" i="5" s="1"/>
  <c r="J87" i="5"/>
  <c r="K86" i="5"/>
  <c r="G257" i="11"/>
  <c r="K256" i="11"/>
  <c r="G234" i="11"/>
  <c r="K233" i="11"/>
  <c r="L90" i="4" l="1"/>
  <c r="M90" i="4" s="1"/>
  <c r="K90" i="4"/>
  <c r="J91" i="4"/>
  <c r="L153" i="4"/>
  <c r="M153" i="4" s="1"/>
  <c r="K153" i="4"/>
  <c r="J154" i="4"/>
  <c r="J57" i="4"/>
  <c r="L56" i="4"/>
  <c r="M56" i="4" s="1"/>
  <c r="K56" i="4"/>
  <c r="J122" i="4"/>
  <c r="L121" i="4"/>
  <c r="M121" i="4" s="1"/>
  <c r="K121" i="4"/>
  <c r="L122" i="15"/>
  <c r="M122" i="15" s="1"/>
  <c r="J123" i="15"/>
  <c r="K122" i="15"/>
  <c r="J56" i="15"/>
  <c r="L55" i="15"/>
  <c r="M55" i="15" s="1"/>
  <c r="K55" i="15"/>
  <c r="L153" i="15"/>
  <c r="M153" i="15" s="1"/>
  <c r="K153" i="15"/>
  <c r="J154" i="15"/>
  <c r="L90" i="15"/>
  <c r="M90" i="15" s="1"/>
  <c r="K90" i="15"/>
  <c r="J91" i="15"/>
  <c r="L153" i="14"/>
  <c r="M153" i="14" s="1"/>
  <c r="K153" i="14"/>
  <c r="J154" i="14"/>
  <c r="L90" i="14"/>
  <c r="M90" i="14" s="1"/>
  <c r="K90" i="14"/>
  <c r="J91" i="14"/>
  <c r="L122" i="14"/>
  <c r="M122" i="14" s="1"/>
  <c r="J123" i="14"/>
  <c r="K122" i="14"/>
  <c r="J56" i="14"/>
  <c r="L55" i="14"/>
  <c r="M55" i="14" s="1"/>
  <c r="K55" i="14"/>
  <c r="J58" i="13"/>
  <c r="K57" i="13"/>
  <c r="L57" i="13"/>
  <c r="M57" i="13" s="1"/>
  <c r="L153" i="13"/>
  <c r="M153" i="13" s="1"/>
  <c r="K153" i="13"/>
  <c r="J154" i="13"/>
  <c r="J123" i="13"/>
  <c r="L122" i="13"/>
  <c r="M122" i="13" s="1"/>
  <c r="K122" i="13"/>
  <c r="L90" i="13"/>
  <c r="M90" i="13" s="1"/>
  <c r="K90" i="13"/>
  <c r="J91" i="13"/>
  <c r="L38" i="6"/>
  <c r="M38" i="6" s="1"/>
  <c r="J39" i="6"/>
  <c r="K38" i="6"/>
  <c r="J119" i="5"/>
  <c r="K118" i="5"/>
  <c r="L118" i="5"/>
  <c r="M118" i="5" s="1"/>
  <c r="L61" i="6"/>
  <c r="M61" i="6" s="1"/>
  <c r="K61" i="6"/>
  <c r="J62" i="6"/>
  <c r="L151" i="5"/>
  <c r="M151" i="5" s="1"/>
  <c r="K151" i="5"/>
  <c r="J152" i="5"/>
  <c r="L87" i="5"/>
  <c r="M87" i="5" s="1"/>
  <c r="K87" i="5"/>
  <c r="J88" i="5"/>
  <c r="L53" i="5"/>
  <c r="M53" i="5" s="1"/>
  <c r="K53" i="5"/>
  <c r="J54" i="5"/>
  <c r="G235" i="11"/>
  <c r="K257" i="11"/>
  <c r="G258" i="11"/>
  <c r="K234" i="11"/>
  <c r="J155" i="4" l="1"/>
  <c r="L154" i="4"/>
  <c r="M154" i="4" s="1"/>
  <c r="K154" i="4"/>
  <c r="K91" i="4"/>
  <c r="J92" i="4"/>
  <c r="L91" i="4"/>
  <c r="M91" i="4" s="1"/>
  <c r="L122" i="4"/>
  <c r="M122" i="4" s="1"/>
  <c r="J123" i="4"/>
  <c r="K122" i="4"/>
  <c r="J58" i="4"/>
  <c r="L57" i="4"/>
  <c r="M57" i="4" s="1"/>
  <c r="K57" i="4"/>
  <c r="J92" i="15"/>
  <c r="K91" i="15"/>
  <c r="L91" i="15"/>
  <c r="M91" i="15" s="1"/>
  <c r="L56" i="15"/>
  <c r="M56" i="15" s="1"/>
  <c r="K56" i="15"/>
  <c r="J57" i="15"/>
  <c r="J155" i="15"/>
  <c r="L154" i="15"/>
  <c r="M154" i="15" s="1"/>
  <c r="K154" i="15"/>
  <c r="J124" i="15"/>
  <c r="L123" i="15"/>
  <c r="M123" i="15" s="1"/>
  <c r="K123" i="15"/>
  <c r="K91" i="14"/>
  <c r="J92" i="14"/>
  <c r="L91" i="14"/>
  <c r="M91" i="14" s="1"/>
  <c r="L56" i="14"/>
  <c r="M56" i="14" s="1"/>
  <c r="K56" i="14"/>
  <c r="J57" i="14"/>
  <c r="J124" i="14"/>
  <c r="L123" i="14"/>
  <c r="M123" i="14" s="1"/>
  <c r="K123" i="14"/>
  <c r="J155" i="14"/>
  <c r="L154" i="14"/>
  <c r="M154" i="14" s="1"/>
  <c r="K154" i="14"/>
  <c r="J155" i="13"/>
  <c r="L154" i="13"/>
  <c r="M154" i="13" s="1"/>
  <c r="K154" i="13"/>
  <c r="J92" i="13"/>
  <c r="L91" i="13"/>
  <c r="M91" i="13" s="1"/>
  <c r="K91" i="13"/>
  <c r="J124" i="13"/>
  <c r="L123" i="13"/>
  <c r="M123" i="13" s="1"/>
  <c r="K123" i="13"/>
  <c r="J59" i="13"/>
  <c r="L58" i="13"/>
  <c r="M58" i="13" s="1"/>
  <c r="K58" i="13"/>
  <c r="L152" i="5"/>
  <c r="M152" i="5" s="1"/>
  <c r="J153" i="5"/>
  <c r="K152" i="5"/>
  <c r="K54" i="5"/>
  <c r="J55" i="5"/>
  <c r="L54" i="5"/>
  <c r="M54" i="5" s="1"/>
  <c r="K62" i="6"/>
  <c r="J63" i="6"/>
  <c r="L62" i="6"/>
  <c r="M62" i="6" s="1"/>
  <c r="K119" i="5"/>
  <c r="J120" i="5"/>
  <c r="L119" i="5"/>
  <c r="M119" i="5" s="1"/>
  <c r="K39" i="6"/>
  <c r="J40" i="6"/>
  <c r="L39" i="6"/>
  <c r="M39" i="6" s="1"/>
  <c r="K88" i="5"/>
  <c r="L88" i="5"/>
  <c r="M88" i="5" s="1"/>
  <c r="J89" i="5"/>
  <c r="G236" i="11"/>
  <c r="K258" i="11"/>
  <c r="K235" i="11"/>
  <c r="G259" i="11"/>
  <c r="J93" i="4" l="1"/>
  <c r="L92" i="4"/>
  <c r="M92" i="4" s="1"/>
  <c r="K92" i="4"/>
  <c r="J124" i="4"/>
  <c r="L123" i="4"/>
  <c r="M123" i="4" s="1"/>
  <c r="K123" i="4"/>
  <c r="K58" i="4"/>
  <c r="L58" i="4"/>
  <c r="M58" i="4" s="1"/>
  <c r="J59" i="4"/>
  <c r="L155" i="4"/>
  <c r="M155" i="4" s="1"/>
  <c r="K155" i="4"/>
  <c r="J156" i="4"/>
  <c r="L124" i="15"/>
  <c r="M124" i="15" s="1"/>
  <c r="K124" i="15"/>
  <c r="J125" i="15"/>
  <c r="K57" i="15"/>
  <c r="J58" i="15"/>
  <c r="L57" i="15"/>
  <c r="M57" i="15" s="1"/>
  <c r="L155" i="15"/>
  <c r="M155" i="15" s="1"/>
  <c r="K155" i="15"/>
  <c r="J156" i="15"/>
  <c r="J93" i="15"/>
  <c r="L92" i="15"/>
  <c r="M92" i="15" s="1"/>
  <c r="K92" i="15"/>
  <c r="L124" i="14"/>
  <c r="M124" i="14" s="1"/>
  <c r="K124" i="14"/>
  <c r="J125" i="14"/>
  <c r="K57" i="14"/>
  <c r="J58" i="14"/>
  <c r="L57" i="14"/>
  <c r="M57" i="14" s="1"/>
  <c r="J93" i="14"/>
  <c r="L92" i="14"/>
  <c r="M92" i="14" s="1"/>
  <c r="K92" i="14"/>
  <c r="L155" i="14"/>
  <c r="M155" i="14" s="1"/>
  <c r="K155" i="14"/>
  <c r="J156" i="14"/>
  <c r="J93" i="13"/>
  <c r="L92" i="13"/>
  <c r="M92" i="13" s="1"/>
  <c r="K92" i="13"/>
  <c r="K59" i="13"/>
  <c r="J60" i="13"/>
  <c r="L59" i="13"/>
  <c r="M59" i="13" s="1"/>
  <c r="L124" i="13"/>
  <c r="M124" i="13" s="1"/>
  <c r="K124" i="13"/>
  <c r="J125" i="13"/>
  <c r="L155" i="13"/>
  <c r="M155" i="13" s="1"/>
  <c r="K155" i="13"/>
  <c r="J156" i="13"/>
  <c r="K40" i="6"/>
  <c r="L40" i="6"/>
  <c r="M40" i="6" s="1"/>
  <c r="J56" i="5"/>
  <c r="K55" i="5"/>
  <c r="L55" i="5"/>
  <c r="M55" i="5" s="1"/>
  <c r="K120" i="5"/>
  <c r="J121" i="5"/>
  <c r="L120" i="5"/>
  <c r="M120" i="5" s="1"/>
  <c r="L89" i="5"/>
  <c r="M89" i="5" s="1"/>
  <c r="J90" i="5"/>
  <c r="K89" i="5"/>
  <c r="J154" i="5"/>
  <c r="L153" i="5"/>
  <c r="M153" i="5" s="1"/>
  <c r="K153" i="5"/>
  <c r="J64" i="6"/>
  <c r="L63" i="6"/>
  <c r="M63" i="6" s="1"/>
  <c r="K63" i="6"/>
  <c r="K259" i="11"/>
  <c r="K236" i="11"/>
  <c r="G260" i="11"/>
  <c r="L156" i="4" l="1"/>
  <c r="M156" i="4" s="1"/>
  <c r="J157" i="4"/>
  <c r="K156" i="4"/>
  <c r="L124" i="4"/>
  <c r="M124" i="4" s="1"/>
  <c r="K124" i="4"/>
  <c r="J125" i="4"/>
  <c r="J60" i="4"/>
  <c r="L59" i="4"/>
  <c r="M59" i="4" s="1"/>
  <c r="K59" i="4"/>
  <c r="L93" i="4"/>
  <c r="M93" i="4" s="1"/>
  <c r="K93" i="4"/>
  <c r="J94" i="4"/>
  <c r="J59" i="15"/>
  <c r="L58" i="15"/>
  <c r="M58" i="15" s="1"/>
  <c r="K58" i="15"/>
  <c r="L93" i="15"/>
  <c r="M93" i="15" s="1"/>
  <c r="J94" i="15"/>
  <c r="K93" i="15"/>
  <c r="J126" i="15"/>
  <c r="L125" i="15"/>
  <c r="M125" i="15" s="1"/>
  <c r="K125" i="15"/>
  <c r="J157" i="15"/>
  <c r="K156" i="15"/>
  <c r="L156" i="15"/>
  <c r="M156" i="15" s="1"/>
  <c r="K156" i="14"/>
  <c r="L156" i="14"/>
  <c r="M156" i="14" s="1"/>
  <c r="J157" i="14"/>
  <c r="L93" i="14"/>
  <c r="M93" i="14" s="1"/>
  <c r="J94" i="14"/>
  <c r="K93" i="14"/>
  <c r="J126" i="14"/>
  <c r="L125" i="14"/>
  <c r="M125" i="14" s="1"/>
  <c r="K125" i="14"/>
  <c r="J59" i="14"/>
  <c r="L58" i="14"/>
  <c r="M58" i="14" s="1"/>
  <c r="K58" i="14"/>
  <c r="J61" i="13"/>
  <c r="L60" i="13"/>
  <c r="M60" i="13" s="1"/>
  <c r="K60" i="13"/>
  <c r="J126" i="13"/>
  <c r="L125" i="13"/>
  <c r="M125" i="13" s="1"/>
  <c r="K125" i="13"/>
  <c r="J157" i="13"/>
  <c r="L156" i="13"/>
  <c r="M156" i="13" s="1"/>
  <c r="K156" i="13"/>
  <c r="J94" i="13"/>
  <c r="L93" i="13"/>
  <c r="M93" i="13" s="1"/>
  <c r="K93" i="13"/>
  <c r="K154" i="5"/>
  <c r="J155" i="5"/>
  <c r="L154" i="5"/>
  <c r="M154" i="5" s="1"/>
  <c r="J65" i="6"/>
  <c r="K64" i="6"/>
  <c r="L64" i="6"/>
  <c r="M64" i="6" s="1"/>
  <c r="J57" i="5"/>
  <c r="L56" i="5"/>
  <c r="M56" i="5" s="1"/>
  <c r="K56" i="5"/>
  <c r="K90" i="5"/>
  <c r="L90" i="5"/>
  <c r="M90" i="5" s="1"/>
  <c r="J91" i="5"/>
  <c r="L121" i="5"/>
  <c r="M121" i="5" s="1"/>
  <c r="K121" i="5"/>
  <c r="J122" i="5"/>
  <c r="G261" i="11"/>
  <c r="K260" i="11"/>
  <c r="J126" i="4" l="1"/>
  <c r="L125" i="4"/>
  <c r="M125" i="4" s="1"/>
  <c r="K125" i="4"/>
  <c r="J95" i="4"/>
  <c r="L94" i="4"/>
  <c r="M94" i="4" s="1"/>
  <c r="K94" i="4"/>
  <c r="J158" i="4"/>
  <c r="L157" i="4"/>
  <c r="M157" i="4" s="1"/>
  <c r="K157" i="4"/>
  <c r="J61" i="4"/>
  <c r="L60" i="4"/>
  <c r="M60" i="4" s="1"/>
  <c r="K60" i="4"/>
  <c r="J95" i="15"/>
  <c r="L94" i="15"/>
  <c r="M94" i="15" s="1"/>
  <c r="K94" i="15"/>
  <c r="J158" i="15"/>
  <c r="L157" i="15"/>
  <c r="M157" i="15" s="1"/>
  <c r="K157" i="15"/>
  <c r="L126" i="15"/>
  <c r="M126" i="15" s="1"/>
  <c r="K126" i="15"/>
  <c r="J127" i="15"/>
  <c r="K59" i="15"/>
  <c r="J60" i="15"/>
  <c r="L59" i="15"/>
  <c r="M59" i="15" s="1"/>
  <c r="J158" i="14"/>
  <c r="L157" i="14"/>
  <c r="M157" i="14" s="1"/>
  <c r="K157" i="14"/>
  <c r="L126" i="14"/>
  <c r="M126" i="14" s="1"/>
  <c r="K126" i="14"/>
  <c r="J127" i="14"/>
  <c r="K59" i="14"/>
  <c r="L59" i="14"/>
  <c r="M59" i="14" s="1"/>
  <c r="J60" i="14"/>
  <c r="J95" i="14"/>
  <c r="L94" i="14"/>
  <c r="M94" i="14" s="1"/>
  <c r="K94" i="14"/>
  <c r="J158" i="13"/>
  <c r="L157" i="13"/>
  <c r="M157" i="13" s="1"/>
  <c r="K157" i="13"/>
  <c r="L126" i="13"/>
  <c r="M126" i="13" s="1"/>
  <c r="K126" i="13"/>
  <c r="J127" i="13"/>
  <c r="J95" i="13"/>
  <c r="L94" i="13"/>
  <c r="M94" i="13" s="1"/>
  <c r="K94" i="13"/>
  <c r="L61" i="13"/>
  <c r="M61" i="13" s="1"/>
  <c r="K61" i="13"/>
  <c r="J62" i="13"/>
  <c r="J66" i="6"/>
  <c r="K65" i="6"/>
  <c r="L65" i="6"/>
  <c r="M65" i="6" s="1"/>
  <c r="L91" i="5"/>
  <c r="M91" i="5" s="1"/>
  <c r="K91" i="5"/>
  <c r="J92" i="5"/>
  <c r="K57" i="5"/>
  <c r="J58" i="5"/>
  <c r="L57" i="5"/>
  <c r="M57" i="5" s="1"/>
  <c r="L155" i="5"/>
  <c r="M155" i="5" s="1"/>
  <c r="J156" i="5"/>
  <c r="K155" i="5"/>
  <c r="J123" i="5"/>
  <c r="K122" i="5"/>
  <c r="L122" i="5"/>
  <c r="M122" i="5" s="1"/>
  <c r="G262" i="11"/>
  <c r="K261" i="11"/>
  <c r="L95" i="4" l="1"/>
  <c r="M95" i="4" s="1"/>
  <c r="K95" i="4"/>
  <c r="J96" i="4"/>
  <c r="K158" i="4"/>
  <c r="L158" i="4"/>
  <c r="M158" i="4" s="1"/>
  <c r="J159" i="4"/>
  <c r="L61" i="4"/>
  <c r="M61" i="4" s="1"/>
  <c r="K61" i="4"/>
  <c r="J62" i="4"/>
  <c r="J127" i="4"/>
  <c r="L126" i="4"/>
  <c r="M126" i="4" s="1"/>
  <c r="K126" i="4"/>
  <c r="J61" i="15"/>
  <c r="L60" i="15"/>
  <c r="M60" i="15" s="1"/>
  <c r="K60" i="15"/>
  <c r="K158" i="15"/>
  <c r="L158" i="15"/>
  <c r="M158" i="15" s="1"/>
  <c r="J159" i="15"/>
  <c r="L127" i="15"/>
  <c r="M127" i="15" s="1"/>
  <c r="K127" i="15"/>
  <c r="J128" i="15"/>
  <c r="L95" i="15"/>
  <c r="M95" i="15" s="1"/>
  <c r="K95" i="15"/>
  <c r="J96" i="15"/>
  <c r="L95" i="14"/>
  <c r="M95" i="14" s="1"/>
  <c r="K95" i="14"/>
  <c r="J96" i="14"/>
  <c r="J61" i="14"/>
  <c r="L60" i="14"/>
  <c r="M60" i="14" s="1"/>
  <c r="K60" i="14"/>
  <c r="K127" i="14"/>
  <c r="J128" i="14"/>
  <c r="L127" i="14"/>
  <c r="M127" i="14" s="1"/>
  <c r="K158" i="14"/>
  <c r="L158" i="14"/>
  <c r="M158" i="14" s="1"/>
  <c r="J159" i="14"/>
  <c r="J63" i="13"/>
  <c r="L62" i="13"/>
  <c r="M62" i="13" s="1"/>
  <c r="K62" i="13"/>
  <c r="L95" i="13"/>
  <c r="M95" i="13" s="1"/>
  <c r="K95" i="13"/>
  <c r="J96" i="13"/>
  <c r="J128" i="13"/>
  <c r="L127" i="13"/>
  <c r="M127" i="13" s="1"/>
  <c r="K127" i="13"/>
  <c r="K158" i="13"/>
  <c r="J159" i="13"/>
  <c r="L158" i="13"/>
  <c r="M158" i="13" s="1"/>
  <c r="J59" i="5"/>
  <c r="L58" i="5"/>
  <c r="M58" i="5" s="1"/>
  <c r="K58" i="5"/>
  <c r="J93" i="5"/>
  <c r="L92" i="5"/>
  <c r="M92" i="5" s="1"/>
  <c r="K92" i="5"/>
  <c r="J67" i="6"/>
  <c r="L66" i="6"/>
  <c r="M66" i="6" s="1"/>
  <c r="K66" i="6"/>
  <c r="L123" i="5"/>
  <c r="M123" i="5" s="1"/>
  <c r="J124" i="5"/>
  <c r="K123" i="5"/>
  <c r="J157" i="5"/>
  <c r="K156" i="5"/>
  <c r="L156" i="5"/>
  <c r="M156" i="5" s="1"/>
  <c r="G263" i="11"/>
  <c r="K262" i="11"/>
  <c r="J63" i="4" l="1"/>
  <c r="L62" i="4"/>
  <c r="M62" i="4" s="1"/>
  <c r="K62" i="4"/>
  <c r="J160" i="4"/>
  <c r="L159" i="4"/>
  <c r="M159" i="4" s="1"/>
  <c r="K159" i="4"/>
  <c r="L96" i="4"/>
  <c r="M96" i="4" s="1"/>
  <c r="K96" i="4"/>
  <c r="K127" i="4"/>
  <c r="L127" i="4"/>
  <c r="M127" i="4" s="1"/>
  <c r="J128" i="4"/>
  <c r="L96" i="15"/>
  <c r="M96" i="15" s="1"/>
  <c r="K96" i="15"/>
  <c r="J160" i="15"/>
  <c r="L159" i="15"/>
  <c r="M159" i="15" s="1"/>
  <c r="K159" i="15"/>
  <c r="L128" i="15"/>
  <c r="M128" i="15" s="1"/>
  <c r="K128" i="15"/>
  <c r="L61" i="15"/>
  <c r="M61" i="15" s="1"/>
  <c r="K61" i="15"/>
  <c r="J62" i="15"/>
  <c r="L128" i="14"/>
  <c r="M128" i="14" s="1"/>
  <c r="K128" i="14"/>
  <c r="J160" i="14"/>
  <c r="L159" i="14"/>
  <c r="M159" i="14" s="1"/>
  <c r="K159" i="14"/>
  <c r="L61" i="14"/>
  <c r="M61" i="14" s="1"/>
  <c r="K61" i="14"/>
  <c r="J62" i="14"/>
  <c r="L96" i="14"/>
  <c r="M96" i="14" s="1"/>
  <c r="K96" i="14"/>
  <c r="L96" i="13"/>
  <c r="M96" i="13" s="1"/>
  <c r="K96" i="13"/>
  <c r="J160" i="13"/>
  <c r="L159" i="13"/>
  <c r="M159" i="13" s="1"/>
  <c r="K159" i="13"/>
  <c r="L128" i="13"/>
  <c r="M128" i="13" s="1"/>
  <c r="K128" i="13"/>
  <c r="J64" i="13"/>
  <c r="L63" i="13"/>
  <c r="M63" i="13" s="1"/>
  <c r="K63" i="13"/>
  <c r="J158" i="5"/>
  <c r="L157" i="5"/>
  <c r="M157" i="5" s="1"/>
  <c r="K157" i="5"/>
  <c r="L67" i="6"/>
  <c r="M67" i="6" s="1"/>
  <c r="J68" i="6"/>
  <c r="K67" i="6"/>
  <c r="J125" i="5"/>
  <c r="K124" i="5"/>
  <c r="L124" i="5"/>
  <c r="M124" i="5" s="1"/>
  <c r="J60" i="5"/>
  <c r="L59" i="5"/>
  <c r="M59" i="5" s="1"/>
  <c r="K59" i="5"/>
  <c r="K93" i="5"/>
  <c r="J94" i="5"/>
  <c r="L93" i="5"/>
  <c r="M93" i="5" s="1"/>
  <c r="G264" i="11"/>
  <c r="K263" i="11"/>
  <c r="L160" i="4" l="1"/>
  <c r="M160" i="4" s="1"/>
  <c r="K160" i="4"/>
  <c r="L128" i="4"/>
  <c r="M128" i="4" s="1"/>
  <c r="K128" i="4"/>
  <c r="J64" i="4"/>
  <c r="L63" i="4"/>
  <c r="M63" i="4" s="1"/>
  <c r="K63" i="4"/>
  <c r="J63" i="15"/>
  <c r="K62" i="15"/>
  <c r="L62" i="15"/>
  <c r="M62" i="15" s="1"/>
  <c r="L160" i="15"/>
  <c r="M160" i="15" s="1"/>
  <c r="K160" i="15"/>
  <c r="K62" i="14"/>
  <c r="J63" i="14"/>
  <c r="L62" i="14"/>
  <c r="M62" i="14" s="1"/>
  <c r="L160" i="14"/>
  <c r="M160" i="14" s="1"/>
  <c r="K160" i="14"/>
  <c r="L64" i="13"/>
  <c r="M64" i="13" s="1"/>
  <c r="K64" i="13"/>
  <c r="L160" i="13"/>
  <c r="M160" i="13" s="1"/>
  <c r="K160" i="13"/>
  <c r="L68" i="6"/>
  <c r="M68" i="6" s="1"/>
  <c r="J69" i="6"/>
  <c r="K68" i="6"/>
  <c r="J159" i="5"/>
  <c r="K158" i="5"/>
  <c r="L158" i="5"/>
  <c r="M158" i="5" s="1"/>
  <c r="K94" i="5"/>
  <c r="L94" i="5"/>
  <c r="M94" i="5" s="1"/>
  <c r="J95" i="5"/>
  <c r="L125" i="5"/>
  <c r="M125" i="5" s="1"/>
  <c r="K125" i="5"/>
  <c r="J126" i="5"/>
  <c r="L60" i="5"/>
  <c r="M60" i="5" s="1"/>
  <c r="K60" i="5"/>
  <c r="J61" i="5"/>
  <c r="G265" i="11"/>
  <c r="K264" i="11"/>
  <c r="K64" i="4" l="1"/>
  <c r="L64" i="4"/>
  <c r="M64" i="4" s="1"/>
  <c r="J64" i="15"/>
  <c r="L63" i="15"/>
  <c r="M63" i="15" s="1"/>
  <c r="K63" i="15"/>
  <c r="J64" i="14"/>
  <c r="L63" i="14"/>
  <c r="M63" i="14" s="1"/>
  <c r="K63" i="14"/>
  <c r="K95" i="5"/>
  <c r="L95" i="5"/>
  <c r="M95" i="5" s="1"/>
  <c r="J96" i="5"/>
  <c r="L159" i="5"/>
  <c r="M159" i="5" s="1"/>
  <c r="K159" i="5"/>
  <c r="J160" i="5"/>
  <c r="J70" i="6"/>
  <c r="L69" i="6"/>
  <c r="M69" i="6" s="1"/>
  <c r="K69" i="6"/>
  <c r="J127" i="5"/>
  <c r="K126" i="5"/>
  <c r="L126" i="5"/>
  <c r="M126" i="5" s="1"/>
  <c r="L61" i="5"/>
  <c r="M61" i="5" s="1"/>
  <c r="K61" i="5"/>
  <c r="J62" i="5"/>
  <c r="G266" i="11"/>
  <c r="K265" i="11"/>
  <c r="L64" i="15" l="1"/>
  <c r="M64" i="15" s="1"/>
  <c r="K64" i="15"/>
  <c r="L64" i="14"/>
  <c r="M64" i="14" s="1"/>
  <c r="K64" i="14"/>
  <c r="L127" i="5"/>
  <c r="M127" i="5" s="1"/>
  <c r="K127" i="5"/>
  <c r="J128" i="5"/>
  <c r="K96" i="5"/>
  <c r="L96" i="5"/>
  <c r="M96" i="5" s="1"/>
  <c r="J63" i="5"/>
  <c r="L62" i="5"/>
  <c r="M62" i="5" s="1"/>
  <c r="K62" i="5"/>
  <c r="L70" i="6"/>
  <c r="M70" i="6" s="1"/>
  <c r="K70" i="6"/>
  <c r="J71" i="6"/>
  <c r="L160" i="5"/>
  <c r="M160" i="5" s="1"/>
  <c r="K160" i="5"/>
  <c r="G267" i="11"/>
  <c r="K266" i="11"/>
  <c r="L71" i="6" l="1"/>
  <c r="M71" i="6" s="1"/>
  <c r="K71" i="6"/>
  <c r="J72" i="6"/>
  <c r="L128" i="5"/>
  <c r="M128" i="5" s="1"/>
  <c r="K128" i="5"/>
  <c r="J64" i="5"/>
  <c r="K63" i="5"/>
  <c r="L63" i="5"/>
  <c r="M63" i="5" s="1"/>
  <c r="G268" i="11"/>
  <c r="K267" i="11"/>
  <c r="L64" i="5" l="1"/>
  <c r="M64" i="5" s="1"/>
  <c r="K64" i="5"/>
  <c r="J73" i="6"/>
  <c r="K72" i="6"/>
  <c r="L72" i="6"/>
  <c r="M72" i="6" s="1"/>
  <c r="K268" i="11"/>
  <c r="J74" i="6" l="1"/>
  <c r="L73" i="6"/>
  <c r="M73" i="6" s="1"/>
  <c r="K73" i="6"/>
  <c r="J75" i="6" l="1"/>
  <c r="L74" i="6"/>
  <c r="M74" i="6" s="1"/>
  <c r="K74" i="6"/>
  <c r="K75" i="6" l="1"/>
  <c r="L75" i="6"/>
  <c r="M75" i="6" s="1"/>
  <c r="J76" i="6"/>
  <c r="B5" i="11"/>
  <c r="L76" i="6" l="1"/>
  <c r="M76" i="6" s="1"/>
  <c r="K76" i="6"/>
  <c r="J77" i="6"/>
  <c r="B6" i="11"/>
  <c r="H5" i="11"/>
  <c r="D6" i="11"/>
  <c r="C6" i="11"/>
  <c r="H6" i="11"/>
  <c r="G6" i="11"/>
  <c r="F6" i="11"/>
  <c r="E6" i="11"/>
  <c r="E5" i="11"/>
  <c r="J6" i="11" l="1"/>
  <c r="I6" i="11"/>
  <c r="B7" i="11"/>
  <c r="C7" i="11"/>
  <c r="L5" i="11"/>
  <c r="D5" i="11"/>
  <c r="L6" i="11"/>
  <c r="E7" i="11"/>
  <c r="F5" i="11"/>
  <c r="D7" i="11"/>
  <c r="G7" i="11"/>
  <c r="K6" i="11"/>
  <c r="F7" i="11"/>
  <c r="H7" i="11"/>
  <c r="J7" i="11" l="1"/>
  <c r="I7" i="11"/>
  <c r="L7" i="11"/>
  <c r="G5" i="11"/>
  <c r="K7" i="11"/>
  <c r="C5" i="11"/>
  <c r="K5" i="11"/>
  <c r="I5" i="11" l="1"/>
  <c r="J5" i="11"/>
  <c r="B8" i="11"/>
  <c r="J78" i="6"/>
  <c r="K77" i="6"/>
  <c r="L77" i="6"/>
  <c r="M77" i="6" s="1"/>
  <c r="C8" i="11"/>
  <c r="D8" i="11"/>
  <c r="E8" i="11"/>
  <c r="H8" i="11"/>
  <c r="G8" i="11"/>
  <c r="F8" i="11"/>
  <c r="I8" i="11" l="1"/>
  <c r="J8" i="11"/>
  <c r="B9" i="11"/>
  <c r="L78" i="6"/>
  <c r="M78" i="6" s="1"/>
  <c r="J79" i="6"/>
  <c r="K78" i="6"/>
  <c r="D9" i="11"/>
  <c r="K8" i="11"/>
  <c r="G9" i="11"/>
  <c r="C9" i="11"/>
  <c r="F9" i="11"/>
  <c r="L8" i="11"/>
  <c r="E9" i="11"/>
  <c r="B10" i="11" l="1"/>
  <c r="L79" i="6"/>
  <c r="M79" i="6" s="1"/>
  <c r="K79" i="6"/>
  <c r="J80" i="6"/>
  <c r="H9" i="11"/>
  <c r="C10" i="11"/>
  <c r="H10" i="11"/>
  <c r="L9" i="11"/>
  <c r="E10" i="11"/>
  <c r="K9" i="11"/>
  <c r="G10" i="11"/>
  <c r="I9" i="11" l="1"/>
  <c r="J9" i="11"/>
  <c r="J10" i="11"/>
  <c r="I10" i="11"/>
  <c r="B11" i="11"/>
  <c r="L80" i="6"/>
  <c r="M80" i="6" s="1"/>
  <c r="J81" i="6"/>
  <c r="K80" i="6"/>
  <c r="K10" i="11"/>
  <c r="D11" i="11"/>
  <c r="F10" i="11"/>
  <c r="D10" i="11"/>
  <c r="F11" i="11"/>
  <c r="E11" i="11"/>
  <c r="L10" i="11"/>
  <c r="B12" i="11" l="1"/>
  <c r="J82" i="6"/>
  <c r="K81" i="6"/>
  <c r="L81" i="6"/>
  <c r="M81" i="6" s="1"/>
  <c r="L11" i="11"/>
  <c r="K11" i="11"/>
  <c r="C11" i="11"/>
  <c r="E12" i="11"/>
  <c r="D12" i="11"/>
  <c r="C12" i="11"/>
  <c r="H12" i="11"/>
  <c r="G11" i="11"/>
  <c r="G12" i="11"/>
  <c r="H11" i="11"/>
  <c r="J11" i="11" l="1"/>
  <c r="I11" i="11"/>
  <c r="J12" i="11"/>
  <c r="I12" i="11"/>
  <c r="B13" i="11"/>
  <c r="K82" i="6"/>
  <c r="L82" i="6"/>
  <c r="M82" i="6" s="1"/>
  <c r="J83" i="6"/>
  <c r="L12" i="11"/>
  <c r="E13" i="11"/>
  <c r="F12" i="11"/>
  <c r="D13" i="11"/>
  <c r="G13" i="11"/>
  <c r="C13" i="11"/>
  <c r="H13" i="11"/>
  <c r="F13" i="11"/>
  <c r="K12" i="11"/>
  <c r="I13" i="11" l="1"/>
  <c r="J13" i="11"/>
  <c r="B14" i="11"/>
  <c r="L83" i="6"/>
  <c r="M83" i="6" s="1"/>
  <c r="J84" i="6"/>
  <c r="K83" i="6"/>
  <c r="L13" i="11"/>
  <c r="D14" i="11"/>
  <c r="K13" i="11"/>
  <c r="G14" i="11"/>
  <c r="H14" i="11"/>
  <c r="E14" i="11"/>
  <c r="C14" i="11"/>
  <c r="F14" i="11"/>
  <c r="I14" i="11" l="1"/>
  <c r="J14" i="11"/>
  <c r="B15" i="11"/>
  <c r="J85" i="6"/>
  <c r="K84" i="6"/>
  <c r="L84" i="6"/>
  <c r="M84" i="6" s="1"/>
  <c r="F15" i="11"/>
  <c r="C15" i="11"/>
  <c r="K14" i="11"/>
  <c r="G15" i="11"/>
  <c r="L14" i="11"/>
  <c r="H15" i="11"/>
  <c r="I15" i="11" l="1"/>
  <c r="J15" i="11"/>
  <c r="B16" i="11"/>
  <c r="K85" i="6"/>
  <c r="L85" i="6"/>
  <c r="M85" i="6" s="1"/>
  <c r="J86" i="6"/>
  <c r="E16" i="11"/>
  <c r="F16" i="11"/>
  <c r="L15" i="11"/>
  <c r="E15" i="11"/>
  <c r="C16" i="11"/>
  <c r="K15" i="11"/>
  <c r="G16" i="11"/>
  <c r="D15" i="11"/>
  <c r="B17" i="11" l="1"/>
  <c r="K86" i="6"/>
  <c r="L86" i="6"/>
  <c r="M86" i="6" s="1"/>
  <c r="J87" i="6"/>
  <c r="H16" i="11"/>
  <c r="E17" i="11"/>
  <c r="H17" i="11"/>
  <c r="F17" i="11"/>
  <c r="G17" i="11"/>
  <c r="C17" i="11"/>
  <c r="L16" i="11"/>
  <c r="D17" i="11"/>
  <c r="K16" i="11"/>
  <c r="D16" i="11"/>
  <c r="I16" i="11" l="1"/>
  <c r="J16" i="11"/>
  <c r="J17" i="11"/>
  <c r="I17" i="11"/>
  <c r="B18" i="11"/>
  <c r="J88" i="6"/>
  <c r="L87" i="6"/>
  <c r="M87" i="6" s="1"/>
  <c r="K87" i="6"/>
  <c r="F18" i="11"/>
  <c r="L17" i="11"/>
  <c r="C18" i="11"/>
  <c r="H18" i="11"/>
  <c r="G18" i="11"/>
  <c r="D18" i="11"/>
  <c r="K17" i="11"/>
  <c r="E18" i="11"/>
  <c r="J18" i="11" l="1"/>
  <c r="I18" i="11"/>
  <c r="B19" i="11"/>
  <c r="K88" i="6"/>
  <c r="L88" i="6"/>
  <c r="M88" i="6" s="1"/>
  <c r="H19" i="11"/>
  <c r="C19" i="11"/>
  <c r="L18" i="11"/>
  <c r="D19" i="11"/>
  <c r="G19" i="11"/>
  <c r="K18" i="11"/>
  <c r="E19" i="11"/>
  <c r="F19" i="11"/>
  <c r="I19" i="11" l="1"/>
  <c r="J19" i="11"/>
  <c r="B20" i="11"/>
  <c r="D20" i="11"/>
  <c r="G20" i="11"/>
  <c r="K19" i="11"/>
  <c r="H20" i="11"/>
  <c r="C20" i="11"/>
  <c r="L19" i="11"/>
  <c r="F20" i="11"/>
  <c r="E20" i="11"/>
  <c r="I20" i="11" l="1"/>
  <c r="J20" i="11"/>
  <c r="B21" i="11"/>
  <c r="L20" i="11"/>
  <c r="H21" i="11"/>
  <c r="K20" i="11"/>
  <c r="I21" i="11" l="1"/>
  <c r="B22" i="11"/>
  <c r="G22" i="11"/>
  <c r="K21" i="11"/>
  <c r="G21" i="11"/>
  <c r="E21" i="11"/>
  <c r="D21" i="11"/>
  <c r="F21" i="11"/>
  <c r="H22" i="11"/>
  <c r="C21" i="11"/>
  <c r="L21" i="11"/>
  <c r="J21" i="11" l="1"/>
  <c r="I22" i="11"/>
  <c r="B23" i="11"/>
  <c r="C22" i="11"/>
  <c r="D22" i="11"/>
  <c r="L22" i="11"/>
  <c r="K22" i="11"/>
  <c r="E22" i="11"/>
  <c r="D23" i="11"/>
  <c r="F22" i="11"/>
  <c r="J22" i="11" l="1"/>
  <c r="B24" i="11"/>
  <c r="G24" i="11"/>
  <c r="G23" i="11"/>
  <c r="F23" i="11"/>
  <c r="E23" i="11"/>
  <c r="C23" i="11"/>
  <c r="H23" i="11"/>
  <c r="L23" i="11"/>
  <c r="K23" i="11"/>
  <c r="I23" i="11" l="1"/>
  <c r="J23" i="11"/>
  <c r="B25" i="11"/>
  <c r="E25" i="11"/>
  <c r="C25" i="11"/>
  <c r="D24" i="11"/>
  <c r="H25" i="11"/>
  <c r="G25" i="11"/>
  <c r="D25" i="11"/>
  <c r="H24" i="11"/>
  <c r="L24" i="11"/>
  <c r="E24" i="11"/>
  <c r="C24" i="11"/>
  <c r="F24" i="11"/>
  <c r="K24" i="11"/>
  <c r="F25" i="11"/>
  <c r="I24" i="11" l="1"/>
  <c r="J24" i="11"/>
  <c r="I25" i="11"/>
  <c r="J25" i="11"/>
  <c r="B26" i="11"/>
  <c r="D26" i="11"/>
  <c r="E26" i="11"/>
  <c r="L25" i="11"/>
  <c r="K25" i="11"/>
  <c r="B27" i="11" l="1"/>
  <c r="L26" i="11"/>
  <c r="D27" i="11"/>
  <c r="H26" i="11"/>
  <c r="C26" i="11"/>
  <c r="G26" i="11"/>
  <c r="G27" i="11"/>
  <c r="F26" i="11"/>
  <c r="K26" i="11"/>
  <c r="J26" i="11" l="1"/>
  <c r="I26" i="11"/>
  <c r="B28" i="11"/>
  <c r="G28" i="11"/>
  <c r="L27" i="11"/>
  <c r="E27" i="11"/>
  <c r="F27" i="11"/>
  <c r="C28" i="11"/>
  <c r="K27" i="11"/>
  <c r="H28" i="11"/>
  <c r="H27" i="11"/>
  <c r="E28" i="11"/>
  <c r="C27" i="11"/>
  <c r="J27" i="11" l="1"/>
  <c r="I27" i="11"/>
  <c r="J28" i="11"/>
  <c r="I28" i="11"/>
  <c r="B29" i="11"/>
  <c r="D28" i="11"/>
  <c r="L28" i="11"/>
  <c r="K28" i="11"/>
  <c r="D29" i="11"/>
  <c r="F28" i="11"/>
  <c r="B30" i="11" l="1"/>
  <c r="K29" i="11"/>
  <c r="C29" i="11"/>
  <c r="F29" i="11"/>
  <c r="H29" i="11"/>
  <c r="L29" i="11"/>
  <c r="G29" i="11"/>
  <c r="E29" i="11"/>
  <c r="D30" i="11"/>
  <c r="J29" i="11" l="1"/>
  <c r="I29" i="11"/>
  <c r="B31" i="11"/>
  <c r="D31" i="11"/>
  <c r="C30" i="11"/>
  <c r="F31" i="11"/>
  <c r="H31" i="11"/>
  <c r="E30" i="11"/>
  <c r="E31" i="11"/>
  <c r="G30" i="11"/>
  <c r="F30" i="11"/>
  <c r="H30" i="11"/>
  <c r="G31" i="11"/>
  <c r="C31" i="11"/>
  <c r="K30" i="11"/>
  <c r="L30" i="11"/>
  <c r="I30" i="11" l="1"/>
  <c r="J30" i="11"/>
  <c r="J31" i="11"/>
  <c r="I31" i="11"/>
  <c r="B32" i="11"/>
  <c r="K31" i="11"/>
  <c r="L31" i="11"/>
  <c r="D32" i="11"/>
  <c r="C32" i="11"/>
  <c r="F32" i="11"/>
  <c r="E32" i="11"/>
  <c r="B33" i="11" l="1"/>
  <c r="H32" i="11"/>
  <c r="D33" i="11"/>
  <c r="G33" i="11"/>
  <c r="F33" i="11"/>
  <c r="K32" i="11"/>
  <c r="C33" i="11"/>
  <c r="L32" i="11"/>
  <c r="E33" i="11"/>
  <c r="G32" i="11"/>
  <c r="H33" i="11"/>
  <c r="I32" i="11" l="1"/>
  <c r="J32" i="11"/>
  <c r="J33" i="11"/>
  <c r="I33" i="11"/>
  <c r="B34" i="11"/>
  <c r="G34" i="11"/>
  <c r="E34" i="11"/>
  <c r="L33" i="11"/>
  <c r="K33" i="11"/>
  <c r="D34" i="11"/>
  <c r="C34" i="11"/>
  <c r="B35" i="11" l="1"/>
  <c r="H34" i="11"/>
  <c r="K34" i="11"/>
  <c r="C35" i="11"/>
  <c r="H35" i="11"/>
  <c r="F34" i="11"/>
  <c r="D35" i="11"/>
  <c r="E35" i="11"/>
  <c r="L34" i="11"/>
  <c r="F35" i="11"/>
  <c r="I34" i="11" l="1"/>
  <c r="J34" i="11"/>
  <c r="I35" i="11"/>
  <c r="J35" i="11"/>
  <c r="B36" i="11"/>
  <c r="F36" i="11"/>
  <c r="H36" i="11"/>
  <c r="G35" i="11"/>
  <c r="L35" i="11"/>
  <c r="K35" i="11"/>
  <c r="I36" i="11" l="1"/>
  <c r="B37" i="11"/>
  <c r="E36" i="11"/>
  <c r="G37" i="11"/>
  <c r="L36" i="11"/>
  <c r="F37" i="11"/>
  <c r="C36" i="11"/>
  <c r="K36" i="11"/>
  <c r="D37" i="11"/>
  <c r="D36" i="11"/>
  <c r="E37" i="11"/>
  <c r="G36" i="11"/>
  <c r="J36" i="11" l="1"/>
  <c r="B38" i="11"/>
  <c r="C37" i="11"/>
  <c r="E38" i="11"/>
  <c r="K37" i="11"/>
  <c r="H37" i="11"/>
  <c r="H38" i="11"/>
  <c r="L37" i="11"/>
  <c r="I37" i="11" l="1"/>
  <c r="J37" i="11"/>
  <c r="I38" i="11"/>
  <c r="B39" i="11"/>
  <c r="C39" i="11"/>
  <c r="H39" i="11"/>
  <c r="C38" i="11"/>
  <c r="D38" i="11"/>
  <c r="G38" i="11"/>
  <c r="G39" i="11"/>
  <c r="L38" i="11"/>
  <c r="D39" i="11"/>
  <c r="F38" i="11"/>
  <c r="E39" i="11"/>
  <c r="F39" i="11"/>
  <c r="K38" i="11"/>
  <c r="J38" i="11" l="1"/>
  <c r="I39" i="11"/>
  <c r="J39" i="11"/>
  <c r="B40" i="11"/>
  <c r="H40" i="11"/>
  <c r="G40" i="11"/>
  <c r="F40" i="11"/>
  <c r="D40" i="11"/>
  <c r="L39" i="11"/>
  <c r="E40" i="11"/>
  <c r="C40" i="11"/>
  <c r="K39" i="11"/>
  <c r="I40" i="11" l="1"/>
  <c r="J40" i="11"/>
  <c r="B41" i="11"/>
  <c r="K40" i="11"/>
  <c r="H41" i="11"/>
  <c r="F41" i="11"/>
  <c r="L40" i="11"/>
  <c r="D41" i="11"/>
  <c r="G41" i="11"/>
  <c r="C41" i="11"/>
  <c r="I41" i="11" l="1"/>
  <c r="J41" i="11"/>
  <c r="B42" i="11"/>
  <c r="K41" i="11"/>
  <c r="E41" i="11"/>
  <c r="L41" i="11"/>
  <c r="G42" i="11"/>
  <c r="B43" i="11" l="1"/>
  <c r="D42" i="11"/>
  <c r="F42" i="11"/>
  <c r="E42" i="11"/>
  <c r="H42" i="11"/>
  <c r="F43" i="11"/>
  <c r="L42" i="11"/>
  <c r="C42" i="11"/>
  <c r="K42" i="11"/>
  <c r="I42" i="11" l="1"/>
  <c r="J42" i="11"/>
  <c r="B44" i="11"/>
  <c r="G43" i="11"/>
  <c r="H43" i="11"/>
  <c r="E44" i="11"/>
  <c r="G44" i="11"/>
  <c r="D44" i="11"/>
  <c r="F44" i="11"/>
  <c r="C43" i="11"/>
  <c r="H44" i="11"/>
  <c r="L43" i="11"/>
  <c r="D43" i="11"/>
  <c r="K43" i="11"/>
  <c r="E43" i="11"/>
  <c r="C44" i="11"/>
  <c r="I43" i="11" l="1"/>
  <c r="J43" i="11"/>
  <c r="I44" i="11"/>
  <c r="J44" i="11"/>
  <c r="B45" i="11"/>
  <c r="F45" i="11"/>
  <c r="G45" i="11"/>
  <c r="D45" i="11"/>
  <c r="L44" i="11"/>
  <c r="E45" i="11"/>
  <c r="C45" i="11"/>
  <c r="K44" i="11"/>
  <c r="H45" i="11"/>
  <c r="J45" i="11" l="1"/>
  <c r="I45" i="11"/>
  <c r="B46" i="11"/>
  <c r="H46" i="11"/>
  <c r="F46" i="11"/>
  <c r="K45" i="11"/>
  <c r="D46" i="11"/>
  <c r="E46" i="11"/>
  <c r="L45" i="11"/>
  <c r="G46" i="11"/>
  <c r="C46" i="11"/>
  <c r="J46" i="11" l="1"/>
  <c r="I46" i="11"/>
  <c r="B47" i="11"/>
  <c r="H47" i="11"/>
  <c r="L46" i="11"/>
  <c r="K46" i="11"/>
  <c r="D47" i="11"/>
  <c r="G47" i="11"/>
  <c r="C47" i="11"/>
  <c r="F47" i="11"/>
  <c r="I47" i="11" l="1"/>
  <c r="J47" i="11"/>
  <c r="B48" i="11"/>
  <c r="E47" i="11"/>
  <c r="E48" i="11"/>
  <c r="K47" i="11"/>
  <c r="G48" i="11"/>
  <c r="C48" i="11"/>
  <c r="H48" i="11"/>
  <c r="F48" i="11"/>
  <c r="D48" i="11"/>
  <c r="L47" i="11"/>
  <c r="I48" i="11" l="1"/>
  <c r="J48" i="11"/>
  <c r="B49" i="11"/>
  <c r="C49" i="11"/>
  <c r="L48" i="11"/>
  <c r="K48" i="11"/>
  <c r="B50" i="11" l="1"/>
  <c r="H49" i="11"/>
  <c r="E49" i="11"/>
  <c r="D49" i="11"/>
  <c r="K49" i="11"/>
  <c r="C50" i="11"/>
  <c r="G49" i="11"/>
  <c r="L49" i="11"/>
  <c r="F49" i="11"/>
  <c r="J49" i="11" l="1"/>
  <c r="I49" i="11"/>
  <c r="B51" i="11"/>
  <c r="E50" i="11"/>
  <c r="G51" i="11"/>
  <c r="F50" i="11"/>
  <c r="K50" i="11"/>
  <c r="H50" i="11"/>
  <c r="G50" i="11"/>
  <c r="D50" i="11"/>
  <c r="L50" i="11"/>
  <c r="J50" i="11" l="1"/>
  <c r="I50" i="11"/>
  <c r="B52" i="11"/>
  <c r="F51" i="11"/>
  <c r="E51" i="11"/>
  <c r="L51" i="11"/>
  <c r="K51" i="11"/>
  <c r="C51" i="11"/>
  <c r="D51" i="11"/>
  <c r="H51" i="11"/>
  <c r="F52" i="11"/>
  <c r="I51" i="11" l="1"/>
  <c r="J51" i="11"/>
  <c r="B53" i="11"/>
  <c r="B54" i="11" s="1"/>
  <c r="C52" i="11"/>
  <c r="G52" i="11"/>
  <c r="E52" i="11"/>
  <c r="H52" i="11"/>
  <c r="D52" i="11"/>
  <c r="L52" i="11"/>
  <c r="K52" i="11"/>
  <c r="I52" i="11" l="1"/>
  <c r="J52" i="11"/>
  <c r="B55" i="11"/>
  <c r="F55" i="11"/>
  <c r="E54" i="11"/>
  <c r="D53" i="11"/>
  <c r="H54" i="11"/>
  <c r="E53" i="11"/>
  <c r="K54" i="11"/>
  <c r="E55" i="11"/>
  <c r="G54" i="11"/>
  <c r="L54" i="11"/>
  <c r="G53" i="11"/>
  <c r="C54" i="11"/>
  <c r="D55" i="11"/>
  <c r="D54" i="11"/>
  <c r="L53" i="11"/>
  <c r="K53" i="11"/>
  <c r="C53" i="11"/>
  <c r="C55" i="11"/>
  <c r="F53" i="11"/>
  <c r="F54" i="11"/>
  <c r="H53" i="11"/>
  <c r="I54" i="11" l="1"/>
  <c r="J53" i="11"/>
  <c r="J54" i="11"/>
  <c r="I53" i="11"/>
  <c r="B56" i="11"/>
  <c r="G56" i="11"/>
  <c r="K55" i="11"/>
  <c r="H55" i="11"/>
  <c r="L55" i="11"/>
  <c r="C56" i="11"/>
  <c r="F56" i="11"/>
  <c r="D56" i="11"/>
  <c r="G55" i="11"/>
  <c r="I55" i="11" l="1"/>
  <c r="J55" i="11"/>
  <c r="B57" i="11"/>
  <c r="L56" i="11"/>
  <c r="H56" i="11"/>
  <c r="C57" i="11"/>
  <c r="K56" i="11"/>
  <c r="E56" i="11"/>
  <c r="I56" i="11" l="1"/>
  <c r="J56" i="11"/>
  <c r="B58" i="11"/>
  <c r="E58" i="11"/>
  <c r="D57" i="11"/>
  <c r="K57" i="11"/>
  <c r="G57" i="11"/>
  <c r="L57" i="11"/>
  <c r="H58" i="11"/>
  <c r="G58" i="11"/>
  <c r="E57" i="11"/>
  <c r="F57" i="11"/>
  <c r="H57" i="11"/>
  <c r="F58" i="11"/>
  <c r="D58" i="11"/>
  <c r="I57" i="11" l="1"/>
  <c r="J57" i="11"/>
  <c r="I58" i="11"/>
  <c r="B59" i="11"/>
  <c r="L58" i="11"/>
  <c r="C58" i="11"/>
  <c r="E59" i="11"/>
  <c r="K58" i="11"/>
  <c r="J58" i="11" l="1"/>
  <c r="B60" i="11"/>
  <c r="C59" i="11"/>
  <c r="D59" i="11"/>
  <c r="K59" i="11"/>
  <c r="G60" i="11"/>
  <c r="G59" i="11"/>
  <c r="F59" i="11"/>
  <c r="L59" i="11"/>
  <c r="H59" i="11"/>
  <c r="J59" i="11" l="1"/>
  <c r="I59" i="11"/>
  <c r="B61" i="11"/>
  <c r="E60" i="11"/>
  <c r="K60" i="11"/>
  <c r="D60" i="11"/>
  <c r="L60" i="11"/>
  <c r="F61" i="11"/>
  <c r="F60" i="11"/>
  <c r="C60" i="11"/>
  <c r="H60" i="11"/>
  <c r="I60" i="11" l="1"/>
  <c r="J60" i="11"/>
  <c r="B62" i="11"/>
  <c r="K61" i="11"/>
  <c r="L61" i="11"/>
  <c r="E61" i="11"/>
  <c r="F62" i="11"/>
  <c r="D61" i="11"/>
  <c r="H62" i="11"/>
  <c r="C61" i="11"/>
  <c r="D62" i="11"/>
  <c r="G62" i="11"/>
  <c r="G61" i="11"/>
  <c r="H61" i="11"/>
  <c r="C62" i="11"/>
  <c r="E62" i="11"/>
  <c r="J61" i="11" l="1"/>
  <c r="I61" i="11"/>
  <c r="I62" i="11"/>
  <c r="J62" i="11"/>
  <c r="B63" i="11"/>
  <c r="L62" i="11"/>
  <c r="K62" i="11"/>
  <c r="C63" i="11"/>
  <c r="D63" i="11"/>
  <c r="H63" i="11"/>
  <c r="F63" i="11"/>
  <c r="E63" i="11"/>
  <c r="G63" i="11"/>
  <c r="J63" i="11" l="1"/>
  <c r="I63" i="11"/>
  <c r="B64" i="11"/>
  <c r="K63" i="11"/>
  <c r="L63" i="11"/>
  <c r="F64" i="11"/>
  <c r="B65" i="11" l="1"/>
  <c r="H65" i="11"/>
  <c r="H64" i="11"/>
  <c r="L64" i="11"/>
  <c r="D64" i="11"/>
  <c r="E64" i="11"/>
  <c r="K64" i="11"/>
  <c r="G64" i="11"/>
  <c r="C64" i="11"/>
  <c r="J64" i="11" l="1"/>
  <c r="I64" i="11"/>
  <c r="I65" i="11"/>
  <c r="B66" i="11"/>
  <c r="G65" i="11"/>
  <c r="C65" i="11"/>
  <c r="D65" i="11"/>
  <c r="G66" i="11"/>
  <c r="K65" i="11"/>
  <c r="D66" i="11"/>
  <c r="H66" i="11"/>
  <c r="F66" i="11"/>
  <c r="L65" i="11"/>
  <c r="F65" i="11"/>
  <c r="E65" i="11"/>
  <c r="J65" i="11" l="1"/>
  <c r="I66" i="11"/>
  <c r="B67" i="11"/>
  <c r="C66" i="11"/>
  <c r="E66" i="11"/>
  <c r="H67" i="11"/>
  <c r="K66" i="11"/>
  <c r="L66" i="11"/>
  <c r="J66" i="11" l="1"/>
  <c r="I67" i="11"/>
  <c r="B68" i="11"/>
  <c r="H68" i="11"/>
  <c r="E67" i="11"/>
  <c r="D67" i="11"/>
  <c r="K67" i="11"/>
  <c r="C67" i="11"/>
  <c r="E68" i="11"/>
  <c r="D68" i="11"/>
  <c r="C68" i="11"/>
  <c r="F67" i="11"/>
  <c r="G67" i="11"/>
  <c r="F68" i="11"/>
  <c r="G68" i="11"/>
  <c r="L67" i="11"/>
  <c r="J67" i="11" l="1"/>
  <c r="I68" i="11"/>
  <c r="J68" i="11"/>
  <c r="B69" i="11"/>
  <c r="D69" i="11"/>
  <c r="K68" i="11"/>
  <c r="C69" i="11"/>
  <c r="G69" i="11"/>
  <c r="E69" i="11"/>
  <c r="F69" i="11"/>
  <c r="H69" i="11"/>
  <c r="L68" i="11"/>
  <c r="J69" i="11" l="1"/>
  <c r="I69" i="11"/>
  <c r="B70" i="11"/>
  <c r="C70" i="11"/>
  <c r="H70" i="11"/>
  <c r="D70" i="11"/>
  <c r="K69" i="11"/>
  <c r="G70" i="11"/>
  <c r="L69" i="11"/>
  <c r="F70" i="11"/>
  <c r="E70" i="11"/>
  <c r="J70" i="11" l="1"/>
  <c r="I70" i="11"/>
  <c r="B71" i="11"/>
  <c r="L70" i="11"/>
  <c r="K70" i="11"/>
  <c r="C71" i="11"/>
  <c r="B72" i="11" l="1"/>
  <c r="K71" i="11"/>
  <c r="L71" i="11"/>
  <c r="E71" i="11"/>
  <c r="E72" i="11"/>
  <c r="D71" i="11"/>
  <c r="F71" i="11"/>
  <c r="G71" i="11"/>
  <c r="H71" i="11"/>
  <c r="J71" i="11" l="1"/>
  <c r="I71" i="11"/>
  <c r="B73" i="11"/>
  <c r="K72" i="11"/>
  <c r="G73" i="11"/>
  <c r="C72" i="11"/>
  <c r="F72" i="11"/>
  <c r="H73" i="11"/>
  <c r="C73" i="11"/>
  <c r="D72" i="11"/>
  <c r="F73" i="11"/>
  <c r="H72" i="11"/>
  <c r="L72" i="11"/>
  <c r="D73" i="11"/>
  <c r="E73" i="11"/>
  <c r="G72" i="11"/>
  <c r="I72" i="11" l="1"/>
  <c r="J72" i="11"/>
  <c r="I73" i="11"/>
  <c r="J73" i="11"/>
  <c r="B74" i="11"/>
  <c r="E74" i="11"/>
  <c r="K73" i="11"/>
  <c r="L73" i="11"/>
  <c r="G74" i="11"/>
  <c r="D74" i="11"/>
  <c r="F74" i="11"/>
  <c r="C74" i="11"/>
  <c r="H74" i="11"/>
  <c r="I74" i="11" l="1"/>
  <c r="J74" i="11"/>
  <c r="B75" i="11"/>
  <c r="L74" i="11"/>
  <c r="C75" i="11"/>
  <c r="G75" i="11"/>
  <c r="H75" i="11"/>
  <c r="K74" i="11"/>
  <c r="J75" i="11" l="1"/>
  <c r="I75" i="11"/>
  <c r="B76" i="11"/>
  <c r="D76" i="11"/>
  <c r="F75" i="11"/>
  <c r="E75" i="11"/>
  <c r="L75" i="11"/>
  <c r="D75" i="11"/>
  <c r="K75" i="11"/>
  <c r="B77" i="11" l="1"/>
  <c r="F76" i="11"/>
  <c r="E77" i="11"/>
  <c r="H77" i="11"/>
  <c r="C76" i="11"/>
  <c r="G76" i="11"/>
  <c r="H76" i="11"/>
  <c r="L76" i="11"/>
  <c r="E76" i="11"/>
  <c r="K76" i="11"/>
  <c r="G77" i="11"/>
  <c r="I76" i="11" l="1"/>
  <c r="J76" i="11"/>
  <c r="I77" i="11"/>
  <c r="B78" i="11"/>
  <c r="F77" i="11"/>
  <c r="D78" i="11"/>
  <c r="C77" i="11"/>
  <c r="L77" i="11"/>
  <c r="K77" i="11"/>
  <c r="C78" i="11"/>
  <c r="D77" i="11"/>
  <c r="J77" i="11" l="1"/>
  <c r="B79" i="11"/>
  <c r="H78" i="11"/>
  <c r="E78" i="11"/>
  <c r="E79" i="11"/>
  <c r="G78" i="11"/>
  <c r="F78" i="11"/>
  <c r="L78" i="11"/>
  <c r="G79" i="11"/>
  <c r="K78" i="11"/>
  <c r="D79" i="11"/>
  <c r="J78" i="11" l="1"/>
  <c r="I78" i="11"/>
  <c r="B80" i="11"/>
  <c r="F79" i="11"/>
  <c r="H80" i="11"/>
  <c r="C79" i="11"/>
  <c r="D80" i="11"/>
  <c r="L79" i="11"/>
  <c r="K79" i="11"/>
  <c r="C80" i="11"/>
  <c r="H79" i="11"/>
  <c r="J79" i="11" l="1"/>
  <c r="I79" i="11"/>
  <c r="I80" i="11"/>
  <c r="J80" i="11"/>
  <c r="B81" i="11"/>
  <c r="F80" i="11"/>
  <c r="G80" i="11"/>
  <c r="H81" i="11"/>
  <c r="L80" i="11"/>
  <c r="K80" i="11"/>
  <c r="E80" i="11"/>
  <c r="C81" i="11"/>
  <c r="J81" i="11" l="1"/>
  <c r="I81" i="11"/>
  <c r="B82" i="11"/>
  <c r="G81" i="11"/>
  <c r="D81" i="11"/>
  <c r="F82" i="11"/>
  <c r="K81" i="11"/>
  <c r="E81" i="11"/>
  <c r="L81" i="11"/>
  <c r="F81" i="11"/>
  <c r="H82" i="11"/>
  <c r="I82" i="11" l="1"/>
  <c r="B83" i="11"/>
  <c r="F83" i="11"/>
  <c r="E83" i="11"/>
  <c r="E82" i="11"/>
  <c r="G82" i="11"/>
  <c r="H83" i="11"/>
  <c r="D83" i="11"/>
  <c r="K82" i="11"/>
  <c r="D82" i="11"/>
  <c r="C82" i="11"/>
  <c r="L82" i="11"/>
  <c r="J82" i="11" l="1"/>
  <c r="I83" i="11"/>
  <c r="B84" i="11"/>
  <c r="F84" i="11"/>
  <c r="L83" i="11"/>
  <c r="K83" i="11"/>
  <c r="D84" i="11"/>
  <c r="G83" i="11"/>
  <c r="C83" i="11"/>
  <c r="J83" i="11" l="1"/>
  <c r="B85" i="11"/>
  <c r="G84" i="11"/>
  <c r="L84" i="11"/>
  <c r="E85" i="11"/>
  <c r="H84" i="11"/>
  <c r="E84" i="11"/>
  <c r="K84" i="11"/>
  <c r="C84" i="11"/>
  <c r="F85" i="11"/>
  <c r="I84" i="11" l="1"/>
  <c r="J84" i="11"/>
  <c r="B86" i="11"/>
  <c r="G85" i="11"/>
  <c r="H85" i="11"/>
  <c r="L85" i="11"/>
  <c r="D86" i="11"/>
  <c r="K85" i="11"/>
  <c r="C85" i="11"/>
  <c r="D85" i="11"/>
  <c r="J85" i="11" l="1"/>
  <c r="I85" i="11"/>
  <c r="B87" i="11"/>
  <c r="E86" i="11"/>
  <c r="L86" i="11"/>
  <c r="G86" i="11"/>
  <c r="C86" i="11"/>
  <c r="F86" i="11"/>
  <c r="H86" i="11"/>
  <c r="E87" i="11"/>
  <c r="K86" i="11"/>
  <c r="J86" i="11" l="1"/>
  <c r="I86" i="11"/>
  <c r="B88" i="11"/>
  <c r="E88" i="11"/>
  <c r="K87" i="11"/>
  <c r="D88" i="11"/>
  <c r="F87" i="11"/>
  <c r="G88" i="11"/>
  <c r="G87" i="11"/>
  <c r="C87" i="11"/>
  <c r="F88" i="11"/>
  <c r="D87" i="11"/>
  <c r="L87" i="11"/>
  <c r="C88" i="11"/>
  <c r="H87" i="11"/>
  <c r="I87" i="11" l="1"/>
  <c r="J87" i="11"/>
  <c r="B89" i="11"/>
  <c r="K88" i="11"/>
  <c r="L88" i="11"/>
  <c r="G89" i="11"/>
  <c r="C89" i="11"/>
  <c r="H88" i="11"/>
  <c r="I88" i="11" l="1"/>
  <c r="J88" i="11"/>
  <c r="B90" i="11"/>
  <c r="E89" i="11"/>
  <c r="L89" i="11"/>
  <c r="K89" i="11"/>
  <c r="D89" i="11"/>
  <c r="F89" i="11"/>
  <c r="H89" i="11"/>
  <c r="C90" i="11"/>
  <c r="I89" i="11" l="1"/>
  <c r="J89" i="11"/>
  <c r="B91" i="11"/>
  <c r="K90" i="11"/>
  <c r="L90" i="11"/>
  <c r="G90" i="11"/>
  <c r="H91" i="11"/>
  <c r="F91" i="11"/>
  <c r="D91" i="11"/>
  <c r="H90" i="11"/>
  <c r="F90" i="11"/>
  <c r="E91" i="11"/>
  <c r="E90" i="11"/>
  <c r="C91" i="11"/>
  <c r="G91" i="11"/>
  <c r="D90" i="11"/>
  <c r="J90" i="11" l="1"/>
  <c r="I90" i="11"/>
  <c r="I91" i="11"/>
  <c r="J91" i="11"/>
  <c r="B92" i="11"/>
  <c r="K91" i="11"/>
  <c r="D92" i="11"/>
  <c r="F92" i="11"/>
  <c r="L91" i="11"/>
  <c r="H92" i="11"/>
  <c r="C92" i="11"/>
  <c r="E92" i="11"/>
  <c r="G92" i="11"/>
  <c r="I92" i="11" l="1"/>
  <c r="J92" i="11"/>
  <c r="B93" i="11"/>
  <c r="L92" i="11"/>
  <c r="D93" i="11"/>
  <c r="C93" i="11"/>
  <c r="K92" i="11"/>
  <c r="H93" i="11"/>
  <c r="J93" i="11" l="1"/>
  <c r="I93" i="11"/>
  <c r="B94" i="11"/>
  <c r="L93" i="11"/>
  <c r="F93" i="11"/>
  <c r="E93" i="11"/>
  <c r="E94" i="11"/>
  <c r="F94" i="11"/>
  <c r="D94" i="11"/>
  <c r="G93" i="11"/>
  <c r="K93" i="11"/>
  <c r="B95" i="11" l="1"/>
  <c r="L94" i="11"/>
  <c r="H95" i="11"/>
  <c r="C94" i="11"/>
  <c r="H94" i="11"/>
  <c r="G94" i="11"/>
  <c r="K94" i="11"/>
  <c r="I94" i="11" l="1"/>
  <c r="J94" i="11"/>
  <c r="I95" i="11"/>
  <c r="B96" i="11"/>
  <c r="F96" i="11"/>
  <c r="F95" i="11"/>
  <c r="G95" i="11"/>
  <c r="G96" i="11"/>
  <c r="E96" i="11"/>
  <c r="E95" i="11"/>
  <c r="C96" i="11"/>
  <c r="L95" i="11"/>
  <c r="C95" i="11"/>
  <c r="H96" i="11"/>
  <c r="D95" i="11"/>
  <c r="D96" i="11"/>
  <c r="K95" i="11"/>
  <c r="J95" i="11" l="1"/>
  <c r="I96" i="11"/>
  <c r="J96" i="11"/>
  <c r="B97" i="11"/>
  <c r="K96" i="11"/>
  <c r="L96" i="11"/>
  <c r="C97" i="11"/>
  <c r="B98" i="11" l="1"/>
  <c r="C98" i="11"/>
  <c r="F97" i="11"/>
  <c r="G97" i="11"/>
  <c r="K97" i="11"/>
  <c r="H97" i="11"/>
  <c r="E97" i="11"/>
  <c r="D97" i="11"/>
  <c r="L97" i="11"/>
  <c r="J97" i="11" l="1"/>
  <c r="I97" i="11"/>
  <c r="B99" i="11"/>
  <c r="G98" i="11"/>
  <c r="D99" i="11"/>
  <c r="G99" i="11"/>
  <c r="D98" i="11"/>
  <c r="F98" i="11"/>
  <c r="H98" i="11"/>
  <c r="K98" i="11"/>
  <c r="C99" i="11"/>
  <c r="E99" i="11"/>
  <c r="F99" i="11"/>
  <c r="H99" i="11"/>
  <c r="E98" i="11"/>
  <c r="L98" i="11"/>
  <c r="J98" i="11" l="1"/>
  <c r="I98" i="11"/>
  <c r="J99" i="11"/>
  <c r="I99" i="11"/>
  <c r="B100" i="11"/>
  <c r="K99" i="11"/>
  <c r="L99" i="11"/>
  <c r="D100" i="11"/>
  <c r="B101" i="11" l="1"/>
  <c r="B102" i="11" s="1"/>
  <c r="E100" i="11"/>
  <c r="K100" i="11"/>
  <c r="C100" i="11"/>
  <c r="G100" i="11"/>
  <c r="F100" i="11"/>
  <c r="L100" i="11"/>
  <c r="H100" i="11"/>
  <c r="I100" i="11" l="1"/>
  <c r="J100" i="11"/>
  <c r="B103" i="11"/>
  <c r="K101" i="11"/>
  <c r="H102" i="11"/>
  <c r="L101" i="11"/>
  <c r="E101" i="11"/>
  <c r="C103" i="11"/>
  <c r="G103" i="11"/>
  <c r="G101" i="11"/>
  <c r="G102" i="11"/>
  <c r="D103" i="11"/>
  <c r="F102" i="11"/>
  <c r="F103" i="11"/>
  <c r="E103" i="11"/>
  <c r="D101" i="11"/>
  <c r="F101" i="11"/>
  <c r="C101" i="11"/>
  <c r="C102" i="11"/>
  <c r="H101" i="11"/>
  <c r="K102" i="11"/>
  <c r="H103" i="11"/>
  <c r="D102" i="11"/>
  <c r="L102" i="11"/>
  <c r="E102" i="11"/>
  <c r="J101" i="11" l="1"/>
  <c r="I101" i="11"/>
  <c r="J102" i="11"/>
  <c r="I102" i="11"/>
  <c r="I103" i="11"/>
  <c r="J103" i="11"/>
  <c r="B104" i="11"/>
  <c r="H104" i="11"/>
  <c r="L103" i="11"/>
  <c r="K103" i="11"/>
  <c r="D104" i="11"/>
  <c r="I104" i="11" l="1"/>
  <c r="B105" i="11"/>
  <c r="D105" i="11"/>
  <c r="F105" i="11"/>
  <c r="K104" i="11"/>
  <c r="E104" i="11"/>
  <c r="G104" i="11"/>
  <c r="C104" i="11"/>
  <c r="L104" i="11"/>
  <c r="F104" i="11"/>
  <c r="J104" i="11" l="1"/>
  <c r="B106" i="11"/>
  <c r="H105" i="11"/>
  <c r="C105" i="11"/>
  <c r="E106" i="11"/>
  <c r="K105" i="11"/>
  <c r="G105" i="11"/>
  <c r="L105" i="11"/>
  <c r="E105" i="11"/>
  <c r="J105" i="11" l="1"/>
  <c r="I105" i="11"/>
  <c r="B107" i="11"/>
  <c r="D106" i="11"/>
  <c r="H106" i="11"/>
  <c r="F106" i="11"/>
  <c r="G106" i="11"/>
  <c r="L106" i="11"/>
  <c r="D107" i="11"/>
  <c r="C106" i="11"/>
  <c r="K106" i="11"/>
  <c r="I106" i="11" l="1"/>
  <c r="J106" i="11"/>
  <c r="B108" i="11"/>
  <c r="G107" i="11"/>
  <c r="C108" i="11"/>
  <c r="D108" i="11"/>
  <c r="H107" i="11"/>
  <c r="E108" i="11"/>
  <c r="F108" i="11"/>
  <c r="L107" i="11"/>
  <c r="E107" i="11"/>
  <c r="C107" i="11"/>
  <c r="H108" i="11"/>
  <c r="G108" i="11"/>
  <c r="F107" i="11"/>
  <c r="K107" i="11"/>
  <c r="J107" i="11" l="1"/>
  <c r="I107" i="11"/>
  <c r="I108" i="11"/>
  <c r="J108" i="11"/>
  <c r="B109" i="11"/>
  <c r="H109" i="11"/>
  <c r="G109" i="11"/>
  <c r="L108" i="11"/>
  <c r="D109" i="11"/>
  <c r="C109" i="11"/>
  <c r="K108" i="11"/>
  <c r="E109" i="11"/>
  <c r="F109" i="11"/>
  <c r="I109" i="11" l="1"/>
  <c r="J109" i="11"/>
  <c r="B110" i="11"/>
  <c r="C110" i="11"/>
  <c r="F110" i="11"/>
  <c r="K109" i="11"/>
  <c r="L109" i="11"/>
  <c r="B111" i="11" l="1"/>
  <c r="D111" i="11"/>
  <c r="L110" i="11"/>
  <c r="G110" i="11"/>
  <c r="E110" i="11"/>
  <c r="D110" i="11"/>
  <c r="K110" i="11"/>
  <c r="H110" i="11"/>
  <c r="I110" i="11" l="1"/>
  <c r="J110" i="11"/>
  <c r="B112" i="11"/>
  <c r="E111" i="11"/>
  <c r="G111" i="11"/>
  <c r="E112" i="11"/>
  <c r="K111" i="11"/>
  <c r="L111" i="11"/>
  <c r="C112" i="11"/>
  <c r="F111" i="11"/>
  <c r="C111" i="11"/>
  <c r="H111" i="11"/>
  <c r="J111" i="11" l="1"/>
  <c r="I111" i="11"/>
  <c r="B113" i="11"/>
  <c r="L112" i="11"/>
  <c r="G112" i="11"/>
  <c r="F112" i="11"/>
  <c r="H112" i="11"/>
  <c r="C113" i="11"/>
  <c r="D112" i="11"/>
  <c r="G113" i="11"/>
  <c r="K112" i="11"/>
  <c r="I112" i="11" l="1"/>
  <c r="J112" i="11"/>
  <c r="B114" i="11"/>
  <c r="F113" i="11"/>
  <c r="E113" i="11"/>
  <c r="K113" i="11"/>
  <c r="E114" i="11"/>
  <c r="D113" i="11"/>
  <c r="H113" i="11"/>
  <c r="L113" i="11"/>
  <c r="I113" i="11" l="1"/>
  <c r="J113" i="11"/>
  <c r="B115" i="11"/>
  <c r="L114" i="11"/>
  <c r="D114" i="11"/>
  <c r="C114" i="11"/>
  <c r="H114" i="11"/>
  <c r="K114" i="11"/>
  <c r="G114" i="11"/>
  <c r="D115" i="11"/>
  <c r="F114" i="11"/>
  <c r="I114" i="11" l="1"/>
  <c r="J114" i="11"/>
  <c r="B116" i="11"/>
  <c r="H115" i="11"/>
  <c r="C115" i="11"/>
  <c r="H116" i="11"/>
  <c r="C116" i="11"/>
  <c r="E116" i="11"/>
  <c r="G116" i="11"/>
  <c r="E115" i="11"/>
  <c r="D116" i="11"/>
  <c r="K115" i="11"/>
  <c r="F115" i="11"/>
  <c r="F116" i="11"/>
  <c r="L115" i="11"/>
  <c r="G115" i="11"/>
  <c r="I115" i="11" l="1"/>
  <c r="J115" i="11"/>
  <c r="I116" i="11"/>
  <c r="J116" i="11"/>
  <c r="B117" i="11"/>
  <c r="H117" i="11"/>
  <c r="D117" i="11"/>
  <c r="E117" i="11"/>
  <c r="C117" i="11"/>
  <c r="K116" i="11"/>
  <c r="L116" i="11"/>
  <c r="F117" i="11"/>
  <c r="G117" i="11"/>
  <c r="J117" i="11" l="1"/>
  <c r="I117" i="11"/>
  <c r="B118" i="11"/>
  <c r="L117" i="11"/>
  <c r="H118" i="11"/>
  <c r="D118" i="11"/>
  <c r="G118" i="11"/>
  <c r="K117" i="11"/>
  <c r="C118" i="11"/>
  <c r="F118" i="11"/>
  <c r="E118" i="11"/>
  <c r="J118" i="11" l="1"/>
  <c r="I118" i="11"/>
  <c r="B119" i="11"/>
  <c r="C119" i="11"/>
  <c r="K118" i="11"/>
  <c r="L118" i="11"/>
  <c r="F119" i="11"/>
  <c r="D119" i="11"/>
  <c r="H119" i="11"/>
  <c r="E119" i="11"/>
  <c r="I119" i="11" l="1"/>
  <c r="J119" i="11"/>
  <c r="B120" i="11"/>
  <c r="K119" i="11"/>
  <c r="L119" i="11"/>
  <c r="G119" i="11"/>
  <c r="E120" i="11"/>
  <c r="B121" i="11" l="1"/>
  <c r="G120" i="11"/>
  <c r="E121" i="11"/>
  <c r="L120" i="11"/>
  <c r="H120" i="11"/>
  <c r="D120" i="11"/>
  <c r="C120" i="11"/>
  <c r="K120" i="11"/>
  <c r="F120" i="11"/>
  <c r="I120" i="11" l="1"/>
  <c r="J120" i="11"/>
  <c r="B122" i="11"/>
  <c r="K121" i="11"/>
  <c r="G121" i="11"/>
  <c r="C121" i="11"/>
  <c r="D122" i="11"/>
  <c r="F122" i="11"/>
  <c r="E122" i="11"/>
  <c r="L121" i="11"/>
  <c r="H121" i="11"/>
  <c r="C122" i="11"/>
  <c r="H122" i="11"/>
  <c r="G122" i="11"/>
  <c r="F121" i="11"/>
  <c r="D121" i="11"/>
  <c r="I121" i="11" l="1"/>
  <c r="J121" i="11"/>
  <c r="I122" i="11"/>
  <c r="J122" i="11"/>
  <c r="B123" i="11"/>
  <c r="K122" i="11"/>
  <c r="H123" i="11"/>
  <c r="C123" i="11"/>
  <c r="E123" i="11"/>
  <c r="D123" i="11"/>
  <c r="F123" i="11"/>
  <c r="L122" i="11"/>
  <c r="G123" i="11"/>
  <c r="J123" i="11" l="1"/>
  <c r="I123" i="11"/>
  <c r="B124" i="11"/>
  <c r="E124" i="11"/>
  <c r="H124" i="11"/>
  <c r="F124" i="11"/>
  <c r="C124" i="11"/>
  <c r="K123" i="11"/>
  <c r="D124" i="11"/>
  <c r="L123" i="11"/>
  <c r="G124" i="11"/>
  <c r="J124" i="11" l="1"/>
  <c r="I124" i="11"/>
  <c r="B125" i="11"/>
  <c r="F125" i="11"/>
  <c r="D125" i="11"/>
  <c r="C125" i="11"/>
  <c r="E125" i="11"/>
  <c r="G125" i="11"/>
  <c r="H125" i="11"/>
  <c r="L124" i="11"/>
  <c r="K124" i="11"/>
  <c r="I125" i="11" l="1"/>
  <c r="J125" i="11"/>
  <c r="B126" i="11"/>
  <c r="K125" i="11"/>
  <c r="G126" i="11"/>
  <c r="L125" i="11"/>
  <c r="B127" i="11" l="1"/>
  <c r="F126" i="11"/>
  <c r="L126" i="11"/>
  <c r="F127" i="11"/>
  <c r="C126" i="11"/>
  <c r="E126" i="11"/>
  <c r="D126" i="11"/>
  <c r="H126" i="11"/>
  <c r="K126" i="11"/>
  <c r="J126" i="11" l="1"/>
  <c r="I126" i="11"/>
  <c r="B128" i="11"/>
  <c r="D128" i="11"/>
  <c r="L127" i="11"/>
  <c r="K127" i="11"/>
  <c r="H127" i="11"/>
  <c r="D127" i="11"/>
  <c r="G127" i="11"/>
  <c r="C127" i="11"/>
  <c r="E127" i="11"/>
  <c r="I127" i="11" l="1"/>
  <c r="J127" i="11"/>
  <c r="B129" i="11"/>
  <c r="L128" i="11"/>
  <c r="F129" i="11"/>
  <c r="D129" i="11"/>
  <c r="K128" i="11"/>
  <c r="C129" i="11"/>
  <c r="F128" i="11"/>
  <c r="H129" i="11"/>
  <c r="H128" i="11"/>
  <c r="C128" i="11"/>
  <c r="G129" i="11"/>
  <c r="E129" i="11"/>
  <c r="E128" i="11"/>
  <c r="G128" i="11"/>
  <c r="I128" i="11" l="1"/>
  <c r="J128" i="11"/>
  <c r="J129" i="11"/>
  <c r="I129" i="11"/>
  <c r="B130" i="11"/>
  <c r="C130" i="11"/>
  <c r="G130" i="11"/>
  <c r="L129" i="11"/>
  <c r="H130" i="11"/>
  <c r="E130" i="11"/>
  <c r="K129" i="11"/>
  <c r="F130" i="11"/>
  <c r="D130" i="11"/>
  <c r="I130" i="11" l="1"/>
  <c r="J130" i="11"/>
  <c r="B131" i="11"/>
  <c r="G131" i="11"/>
  <c r="F131" i="11"/>
  <c r="D131" i="11"/>
  <c r="K130" i="11"/>
  <c r="C131" i="11"/>
  <c r="E131" i="11"/>
  <c r="H131" i="11"/>
  <c r="L130" i="11"/>
  <c r="I131" i="11" l="1"/>
  <c r="J131" i="11"/>
  <c r="B132" i="11"/>
  <c r="E132" i="11"/>
  <c r="G132" i="11"/>
  <c r="D132" i="11"/>
  <c r="C132" i="11"/>
  <c r="F132" i="11"/>
  <c r="H132" i="11"/>
  <c r="K131" i="11"/>
  <c r="L131" i="11"/>
  <c r="I132" i="11" l="1"/>
  <c r="J132" i="11"/>
  <c r="B133" i="11"/>
  <c r="L132" i="11"/>
  <c r="H133" i="11"/>
  <c r="D133" i="11"/>
  <c r="F133" i="11"/>
  <c r="C133" i="11"/>
  <c r="G133" i="11"/>
  <c r="K132" i="11"/>
  <c r="E133" i="11"/>
  <c r="J133" i="11" l="1"/>
  <c r="I133" i="11"/>
  <c r="B134" i="11"/>
  <c r="K133" i="11"/>
  <c r="H134" i="11"/>
  <c r="L133" i="11"/>
  <c r="D134" i="11"/>
  <c r="G134" i="11"/>
  <c r="C134" i="11"/>
  <c r="F134" i="11"/>
  <c r="E134" i="11"/>
  <c r="I134" i="11" l="1"/>
  <c r="J134" i="11"/>
  <c r="B135" i="11"/>
  <c r="D135" i="11"/>
  <c r="K134" i="11"/>
  <c r="G135" i="11"/>
  <c r="L134" i="11"/>
  <c r="F135" i="11"/>
  <c r="C135" i="11"/>
  <c r="E135" i="11"/>
  <c r="H135" i="11"/>
  <c r="I135" i="11" l="1"/>
  <c r="J135" i="11"/>
  <c r="B136" i="11"/>
  <c r="K135" i="11"/>
  <c r="F136" i="11"/>
  <c r="C136" i="11"/>
  <c r="D136" i="11"/>
  <c r="H136" i="11"/>
  <c r="E136" i="11"/>
  <c r="L135" i="11"/>
  <c r="G136" i="11"/>
  <c r="I136" i="11" l="1"/>
  <c r="J136" i="11"/>
  <c r="B137" i="11"/>
  <c r="L136" i="11"/>
  <c r="G137" i="11"/>
  <c r="K136" i="11"/>
  <c r="B138" i="11" l="1"/>
  <c r="F137" i="11"/>
  <c r="F138" i="11"/>
  <c r="L137" i="11"/>
  <c r="E138" i="11"/>
  <c r="H137" i="11"/>
  <c r="D137" i="11"/>
  <c r="K137" i="11"/>
  <c r="E137" i="11"/>
  <c r="C138" i="11"/>
  <c r="C137" i="11"/>
  <c r="I137" i="11" l="1"/>
  <c r="J137" i="11"/>
  <c r="B139" i="11"/>
  <c r="H138" i="11"/>
  <c r="K138" i="11"/>
  <c r="D138" i="11"/>
  <c r="L138" i="11"/>
  <c r="G138" i="11"/>
  <c r="G139" i="11"/>
  <c r="J138" i="11" l="1"/>
  <c r="I138" i="11"/>
  <c r="B140" i="11"/>
  <c r="D139" i="11"/>
  <c r="H140" i="11"/>
  <c r="F140" i="11"/>
  <c r="D140" i="11"/>
  <c r="H139" i="11"/>
  <c r="L139" i="11"/>
  <c r="E140" i="11"/>
  <c r="G140" i="11"/>
  <c r="C140" i="11"/>
  <c r="C139" i="11"/>
  <c r="E139" i="11"/>
  <c r="F139" i="11"/>
  <c r="K139" i="11"/>
  <c r="I139" i="11" l="1"/>
  <c r="J139" i="11"/>
  <c r="I140" i="11"/>
  <c r="J140" i="11"/>
  <c r="B141" i="11"/>
  <c r="K140" i="11"/>
  <c r="E141" i="11"/>
  <c r="F141" i="11"/>
  <c r="D141" i="11"/>
  <c r="H141" i="11"/>
  <c r="G141" i="11"/>
  <c r="L140" i="11"/>
  <c r="C141" i="11"/>
  <c r="I141" i="11" l="1"/>
  <c r="J141" i="11"/>
  <c r="B142" i="11"/>
  <c r="G142" i="11"/>
  <c r="L141" i="11"/>
  <c r="K141" i="11"/>
  <c r="B143" i="11" l="1"/>
  <c r="D142" i="11"/>
  <c r="C142" i="11"/>
  <c r="F142" i="11"/>
  <c r="H142" i="11"/>
  <c r="H143" i="11"/>
  <c r="E142" i="11"/>
  <c r="L142" i="11"/>
  <c r="K142" i="11"/>
  <c r="J142" i="11" l="1"/>
  <c r="I142" i="11"/>
  <c r="I143" i="11"/>
  <c r="B144" i="11"/>
  <c r="D143" i="11"/>
  <c r="E143" i="11"/>
  <c r="F143" i="11"/>
  <c r="L143" i="11"/>
  <c r="C143" i="11"/>
  <c r="G143" i="11"/>
  <c r="K143" i="11"/>
  <c r="E144" i="11"/>
  <c r="J143" i="11" l="1"/>
  <c r="B145" i="11"/>
  <c r="C144" i="11"/>
  <c r="D144" i="11"/>
  <c r="C145" i="11"/>
  <c r="D145" i="11"/>
  <c r="F144" i="11"/>
  <c r="G145" i="11"/>
  <c r="H145" i="11"/>
  <c r="E145" i="11"/>
  <c r="K144" i="11"/>
  <c r="G144" i="11"/>
  <c r="H144" i="11"/>
  <c r="F145" i="11"/>
  <c r="L144" i="11"/>
  <c r="I144" i="11" l="1"/>
  <c r="J144" i="11"/>
  <c r="J145" i="11"/>
  <c r="I145" i="11"/>
  <c r="B146" i="11"/>
  <c r="F146" i="11"/>
  <c r="D146" i="11"/>
  <c r="C146" i="11"/>
  <c r="L145" i="11"/>
  <c r="E146" i="11"/>
  <c r="K145" i="11"/>
  <c r="G146" i="11"/>
  <c r="H146" i="11"/>
  <c r="I146" i="11" l="1"/>
  <c r="J146" i="11"/>
  <c r="B147" i="11"/>
  <c r="G147" i="11"/>
  <c r="K146" i="11"/>
  <c r="E147" i="11"/>
  <c r="F147" i="11"/>
  <c r="C147" i="11"/>
  <c r="L146" i="11"/>
  <c r="H147" i="11"/>
  <c r="D147" i="11"/>
  <c r="I147" i="11" l="1"/>
  <c r="J147" i="11"/>
  <c r="B148" i="11"/>
  <c r="K147" i="11"/>
  <c r="F148" i="11"/>
  <c r="L147" i="11"/>
  <c r="B149" i="11" l="1"/>
  <c r="G148" i="11"/>
  <c r="E149" i="11"/>
  <c r="E148" i="11"/>
  <c r="G149" i="11"/>
  <c r="K148" i="11"/>
  <c r="C148" i="11"/>
  <c r="F149" i="11"/>
  <c r="H149" i="11"/>
  <c r="H148" i="11"/>
  <c r="D148" i="11"/>
  <c r="L148" i="11"/>
  <c r="I148" i="11" l="1"/>
  <c r="J148" i="11"/>
  <c r="I149" i="11"/>
  <c r="B150" i="11"/>
  <c r="F150" i="11"/>
  <c r="E150" i="11"/>
  <c r="C149" i="11"/>
  <c r="K149" i="11"/>
  <c r="C150" i="11"/>
  <c r="D149" i="11"/>
  <c r="L149" i="11"/>
  <c r="D150" i="11"/>
  <c r="G150" i="11"/>
  <c r="H150" i="11"/>
  <c r="J149" i="11" l="1"/>
  <c r="J150" i="11"/>
  <c r="I150" i="11"/>
  <c r="B151" i="11"/>
  <c r="K150" i="11"/>
  <c r="H151" i="11"/>
  <c r="D151" i="11"/>
  <c r="E151" i="11"/>
  <c r="L150" i="11"/>
  <c r="F151" i="11"/>
  <c r="C151" i="11"/>
  <c r="G151" i="11"/>
  <c r="J151" i="11" l="1"/>
  <c r="I151" i="11"/>
  <c r="B152" i="11"/>
  <c r="G152" i="11"/>
  <c r="D152" i="11"/>
  <c r="C152" i="11"/>
  <c r="L151" i="11"/>
  <c r="H152" i="11"/>
  <c r="E152" i="11"/>
  <c r="K151" i="11"/>
  <c r="F152" i="11"/>
  <c r="I152" i="11" l="1"/>
  <c r="J152" i="11"/>
  <c r="B153" i="11"/>
  <c r="G153" i="11"/>
  <c r="K152" i="11"/>
  <c r="E153" i="11"/>
  <c r="C153" i="11"/>
  <c r="L152" i="11"/>
  <c r="D153" i="11"/>
  <c r="F153" i="11"/>
  <c r="H153" i="11"/>
  <c r="I153" i="11" l="1"/>
  <c r="J153" i="11"/>
  <c r="B154" i="11"/>
  <c r="L153" i="11"/>
  <c r="E154" i="11"/>
  <c r="H154" i="11"/>
  <c r="K153" i="11"/>
  <c r="G154" i="11"/>
  <c r="C154" i="11"/>
  <c r="D154" i="11"/>
  <c r="F154" i="11"/>
  <c r="I154" i="11" l="1"/>
  <c r="J154" i="11"/>
  <c r="B155" i="11"/>
  <c r="D155" i="11"/>
  <c r="C155" i="11"/>
  <c r="L154" i="11"/>
  <c r="F155" i="11"/>
  <c r="G155" i="11"/>
  <c r="K154" i="11"/>
  <c r="E155" i="11"/>
  <c r="H155" i="11"/>
  <c r="I155" i="11" l="1"/>
  <c r="J155" i="11"/>
  <c r="B156" i="11"/>
  <c r="F156" i="11"/>
  <c r="K155" i="11"/>
  <c r="G156" i="11"/>
  <c r="E156" i="11"/>
  <c r="L155" i="11"/>
  <c r="C156" i="11"/>
  <c r="D156" i="11"/>
  <c r="H156" i="11"/>
  <c r="J156" i="11" l="1"/>
  <c r="I156" i="11"/>
  <c r="B157" i="11"/>
  <c r="F157" i="11"/>
  <c r="K156" i="11"/>
  <c r="G157" i="11"/>
  <c r="E157" i="11"/>
  <c r="C157" i="11"/>
  <c r="D157" i="11"/>
  <c r="H157" i="11"/>
  <c r="L156" i="11"/>
  <c r="J157" i="11" l="1"/>
  <c r="I157" i="11"/>
  <c r="B158" i="11"/>
  <c r="H158" i="11"/>
  <c r="D158" i="11"/>
  <c r="F158" i="11"/>
  <c r="C158" i="11"/>
  <c r="K157" i="11"/>
  <c r="E158" i="11"/>
  <c r="L157" i="11"/>
  <c r="G158" i="11"/>
  <c r="I158" i="11" l="1"/>
  <c r="J158" i="11"/>
  <c r="B159" i="11"/>
  <c r="C159" i="11"/>
  <c r="D159" i="11"/>
  <c r="E159" i="11"/>
  <c r="F159" i="11"/>
  <c r="G159" i="11"/>
  <c r="L158" i="11"/>
  <c r="K158" i="11"/>
  <c r="B160" i="11" l="1"/>
  <c r="F160" i="11"/>
  <c r="H159" i="11"/>
  <c r="K159" i="11"/>
  <c r="H160" i="11"/>
  <c r="C160" i="11"/>
  <c r="L159" i="11"/>
  <c r="E160" i="11"/>
  <c r="G160" i="11"/>
  <c r="I159" i="11" l="1"/>
  <c r="J159" i="11"/>
  <c r="I160" i="11"/>
  <c r="J160" i="11"/>
  <c r="B161" i="11"/>
  <c r="D161" i="11"/>
  <c r="F161" i="11"/>
  <c r="C161" i="11"/>
  <c r="L160" i="11"/>
  <c r="K160" i="11"/>
  <c r="D160" i="11"/>
  <c r="B162" i="11" l="1"/>
  <c r="L161" i="11"/>
  <c r="G162" i="11"/>
  <c r="G161" i="11"/>
  <c r="F162" i="11"/>
  <c r="C162" i="11"/>
  <c r="H161" i="11"/>
  <c r="E161" i="11"/>
  <c r="K161" i="11"/>
  <c r="I161" i="11" l="1"/>
  <c r="J161" i="11"/>
  <c r="B163" i="11"/>
  <c r="L162" i="11"/>
  <c r="H162" i="11"/>
  <c r="G163" i="11"/>
  <c r="E162" i="11"/>
  <c r="D162" i="11"/>
  <c r="K162" i="11"/>
  <c r="I162" i="11" l="1"/>
  <c r="J162" i="11"/>
  <c r="B164" i="11"/>
  <c r="E163" i="11"/>
  <c r="H163" i="11"/>
  <c r="G164" i="11"/>
  <c r="D163" i="11"/>
  <c r="C163" i="11"/>
  <c r="D164" i="11"/>
  <c r="C164" i="11"/>
  <c r="E164" i="11"/>
  <c r="F164" i="11"/>
  <c r="L163" i="11"/>
  <c r="H164" i="11"/>
  <c r="F163" i="11"/>
  <c r="K163" i="11"/>
  <c r="J163" i="11" l="1"/>
  <c r="I163" i="11"/>
  <c r="I164" i="11"/>
  <c r="J164" i="11"/>
  <c r="B165" i="11"/>
  <c r="L164" i="11"/>
  <c r="D165" i="11"/>
  <c r="K164" i="11"/>
  <c r="G165" i="11"/>
  <c r="F165" i="11"/>
  <c r="B166" i="11" l="1"/>
  <c r="C165" i="11"/>
  <c r="K165" i="11"/>
  <c r="H165" i="11"/>
  <c r="C166" i="11"/>
  <c r="L165" i="11"/>
  <c r="E165" i="11"/>
  <c r="J165" i="11" l="1"/>
  <c r="I165" i="11"/>
  <c r="B167" i="11"/>
  <c r="H167" i="11"/>
  <c r="K166" i="11"/>
  <c r="D166" i="11"/>
  <c r="C167" i="11"/>
  <c r="F167" i="11"/>
  <c r="E167" i="11"/>
  <c r="F166" i="11"/>
  <c r="G167" i="11"/>
  <c r="D167" i="11"/>
  <c r="L166" i="11"/>
  <c r="G166" i="11"/>
  <c r="H166" i="11"/>
  <c r="E166" i="11"/>
  <c r="J166" i="11" l="1"/>
  <c r="I166" i="11"/>
  <c r="I167" i="11"/>
  <c r="J167" i="11"/>
  <c r="B168" i="11"/>
  <c r="L167" i="11"/>
  <c r="E168" i="11"/>
  <c r="G168" i="11"/>
  <c r="H168" i="11"/>
  <c r="K167" i="11"/>
  <c r="I168" i="11" l="1"/>
  <c r="B169" i="11"/>
  <c r="F168" i="11"/>
  <c r="L168" i="11"/>
  <c r="K168" i="11"/>
  <c r="H169" i="11"/>
  <c r="C168" i="11"/>
  <c r="D168" i="11"/>
  <c r="J168" i="11" l="1"/>
  <c r="I169" i="11"/>
  <c r="B170" i="11"/>
  <c r="F169" i="11"/>
  <c r="E169" i="11"/>
  <c r="D169" i="11"/>
  <c r="K169" i="11"/>
  <c r="C170" i="11"/>
  <c r="L169" i="11"/>
  <c r="G169" i="11"/>
  <c r="D170" i="11"/>
  <c r="E170" i="11"/>
  <c r="F170" i="11"/>
  <c r="C169" i="11"/>
  <c r="G170" i="11"/>
  <c r="H170" i="11"/>
  <c r="J169" i="11" l="1"/>
  <c r="I170" i="11"/>
  <c r="J170" i="11"/>
  <c r="B171" i="11"/>
  <c r="L170" i="11"/>
  <c r="K170" i="11"/>
  <c r="F171" i="11"/>
  <c r="B172" i="11" l="1"/>
  <c r="D171" i="11"/>
  <c r="G171" i="11"/>
  <c r="H171" i="11"/>
  <c r="C171" i="11"/>
  <c r="E171" i="11"/>
  <c r="L171" i="11"/>
  <c r="K171" i="11"/>
  <c r="G172" i="11"/>
  <c r="J171" i="11" l="1"/>
  <c r="I171" i="11"/>
  <c r="B173" i="11"/>
  <c r="E172" i="11"/>
  <c r="D172" i="11"/>
  <c r="H173" i="11"/>
  <c r="K172" i="11"/>
  <c r="F172" i="11"/>
  <c r="L172" i="11"/>
  <c r="D173" i="11"/>
  <c r="C172" i="11"/>
  <c r="E173" i="11"/>
  <c r="H172" i="11"/>
  <c r="G173" i="11"/>
  <c r="F173" i="11"/>
  <c r="C173" i="11"/>
  <c r="J172" i="11" l="1"/>
  <c r="I172" i="11"/>
  <c r="I173" i="11"/>
  <c r="J173" i="11"/>
  <c r="B174" i="11"/>
  <c r="C174" i="11"/>
  <c r="L173" i="11"/>
  <c r="E174" i="11"/>
  <c r="D174" i="11"/>
  <c r="F174" i="11"/>
  <c r="K173" i="11"/>
  <c r="H174" i="11"/>
  <c r="G174" i="11"/>
  <c r="J174" i="11" l="1"/>
  <c r="I174" i="11"/>
  <c r="B175" i="11"/>
  <c r="C175" i="11"/>
  <c r="L174" i="11"/>
  <c r="F175" i="11"/>
  <c r="K174" i="11"/>
  <c r="E175" i="11"/>
  <c r="G175" i="11"/>
  <c r="B176" i="11" l="1"/>
  <c r="H175" i="11"/>
  <c r="D175" i="11"/>
  <c r="K175" i="11"/>
  <c r="L175" i="11"/>
  <c r="C176" i="11"/>
  <c r="J175" i="11" l="1"/>
  <c r="I175" i="11"/>
  <c r="B177" i="11"/>
  <c r="K176" i="11"/>
  <c r="H177" i="11"/>
  <c r="G177" i="11"/>
  <c r="C177" i="11"/>
  <c r="H176" i="11"/>
  <c r="E176" i="11"/>
  <c r="D177" i="11"/>
  <c r="D176" i="11"/>
  <c r="G176" i="11"/>
  <c r="L176" i="11"/>
  <c r="F177" i="11"/>
  <c r="F176" i="11"/>
  <c r="E177" i="11"/>
  <c r="J176" i="11" l="1"/>
  <c r="I176" i="11"/>
  <c r="I177" i="11"/>
  <c r="J177" i="11"/>
  <c r="B178" i="11"/>
  <c r="D178" i="11"/>
  <c r="C178" i="11"/>
  <c r="H178" i="11"/>
  <c r="F178" i="11"/>
  <c r="K177" i="11"/>
  <c r="G178" i="11"/>
  <c r="L177" i="11"/>
  <c r="E178" i="11"/>
  <c r="I178" i="11" l="1"/>
  <c r="J178" i="11"/>
  <c r="B179" i="11"/>
  <c r="D179" i="11"/>
  <c r="C179" i="11"/>
  <c r="E179" i="11"/>
  <c r="K178" i="11"/>
  <c r="L178" i="11"/>
  <c r="F179" i="11"/>
  <c r="G179" i="11"/>
  <c r="B180" i="11" l="1"/>
  <c r="C180" i="11"/>
  <c r="D180" i="11"/>
  <c r="K179" i="11"/>
  <c r="L179" i="11"/>
  <c r="H179" i="11"/>
  <c r="G180" i="11"/>
  <c r="F180" i="11"/>
  <c r="H180" i="11"/>
  <c r="E180" i="11"/>
  <c r="I179" i="11" l="1"/>
  <c r="J179" i="11"/>
  <c r="J180" i="11"/>
  <c r="I180" i="11"/>
  <c r="B181" i="11"/>
  <c r="E181" i="11"/>
  <c r="F181" i="11"/>
  <c r="D181" i="11"/>
  <c r="C181" i="11"/>
  <c r="G181" i="11"/>
  <c r="L180" i="11"/>
  <c r="H181" i="11"/>
  <c r="K180" i="11"/>
  <c r="J181" i="11" l="1"/>
  <c r="I181" i="11"/>
  <c r="B182" i="11"/>
  <c r="H182" i="11"/>
  <c r="L181" i="11"/>
  <c r="E182" i="11"/>
  <c r="K181" i="11"/>
  <c r="G182" i="11"/>
  <c r="F182" i="11"/>
  <c r="D182" i="11"/>
  <c r="C182" i="11"/>
  <c r="I182" i="11" l="1"/>
  <c r="J182" i="11"/>
  <c r="B183" i="11"/>
  <c r="D183" i="11"/>
  <c r="C183" i="11"/>
  <c r="K182" i="11"/>
  <c r="G183" i="11"/>
  <c r="F183" i="11"/>
  <c r="H183" i="11"/>
  <c r="L182" i="11"/>
  <c r="E183" i="11"/>
  <c r="I183" i="11" l="1"/>
  <c r="J183" i="11"/>
  <c r="B184" i="11"/>
  <c r="L183" i="11"/>
  <c r="K183" i="11"/>
  <c r="G184" i="11"/>
  <c r="B185" i="11" l="1"/>
  <c r="C184" i="11"/>
  <c r="G185" i="11"/>
  <c r="F184" i="11"/>
  <c r="K184" i="11"/>
  <c r="D184" i="11"/>
  <c r="L184" i="11"/>
  <c r="H184" i="11"/>
  <c r="E184" i="11"/>
  <c r="J184" i="11" l="1"/>
  <c r="I184" i="11"/>
  <c r="B186" i="11"/>
  <c r="E186" i="11"/>
  <c r="F185" i="11"/>
  <c r="E185" i="11"/>
  <c r="H185" i="11"/>
  <c r="D185" i="11"/>
  <c r="C185" i="11"/>
  <c r="K185" i="11"/>
  <c r="L185" i="11"/>
  <c r="I185" i="11" l="1"/>
  <c r="J185" i="11"/>
  <c r="B187" i="11"/>
  <c r="D187" i="11"/>
  <c r="D186" i="11"/>
  <c r="C186" i="11"/>
  <c r="H186" i="11"/>
  <c r="H187" i="11"/>
  <c r="L186" i="11"/>
  <c r="K186" i="11"/>
  <c r="F186" i="11"/>
  <c r="C187" i="11"/>
  <c r="G186" i="11"/>
  <c r="I186" i="11" l="1"/>
  <c r="J186" i="11"/>
  <c r="J187" i="11"/>
  <c r="I187" i="11"/>
  <c r="B188" i="11"/>
  <c r="L187" i="11"/>
  <c r="G187" i="11"/>
  <c r="K187" i="11"/>
  <c r="D188" i="11"/>
  <c r="E187" i="11"/>
  <c r="F187" i="11"/>
  <c r="H188" i="11"/>
  <c r="I188" i="11" l="1"/>
  <c r="B189" i="11"/>
  <c r="C188" i="11"/>
  <c r="G189" i="11"/>
  <c r="F189" i="11"/>
  <c r="K188" i="11"/>
  <c r="C189" i="11"/>
  <c r="E189" i="11"/>
  <c r="E188" i="11"/>
  <c r="L188" i="11"/>
  <c r="F188" i="11"/>
  <c r="G188" i="11"/>
  <c r="J188" i="11" l="1"/>
  <c r="B190" i="11"/>
  <c r="L189" i="11"/>
  <c r="D189" i="11"/>
  <c r="K189" i="11"/>
  <c r="G190" i="11"/>
  <c r="H189" i="11"/>
  <c r="J189" i="11" l="1"/>
  <c r="I189" i="11"/>
  <c r="B191" i="11"/>
  <c r="C190" i="11"/>
  <c r="H190" i="11"/>
  <c r="K190" i="11"/>
  <c r="F190" i="11"/>
  <c r="C191" i="11"/>
  <c r="E190" i="11"/>
  <c r="D191" i="11"/>
  <c r="D190" i="11"/>
  <c r="L190" i="11"/>
  <c r="J190" i="11" l="1"/>
  <c r="I190" i="11"/>
  <c r="B192" i="11"/>
  <c r="G191" i="11"/>
  <c r="F191" i="11"/>
  <c r="K191" i="11"/>
  <c r="E191" i="11"/>
  <c r="D192" i="11"/>
  <c r="H191" i="11"/>
  <c r="L191" i="11"/>
  <c r="J191" i="11" l="1"/>
  <c r="I191" i="11"/>
  <c r="B193" i="11"/>
  <c r="H192" i="11"/>
  <c r="E193" i="11"/>
  <c r="L192" i="11"/>
  <c r="G193" i="11"/>
  <c r="C192" i="11"/>
  <c r="F192" i="11"/>
  <c r="E192" i="11"/>
  <c r="G192" i="11"/>
  <c r="K192" i="11"/>
  <c r="I192" i="11" l="1"/>
  <c r="J192" i="11"/>
  <c r="B194" i="11"/>
  <c r="D193" i="11"/>
  <c r="C193" i="11"/>
  <c r="F193" i="11"/>
  <c r="L193" i="11"/>
  <c r="K193" i="11"/>
  <c r="H194" i="11"/>
  <c r="H193" i="11"/>
  <c r="I193" i="11" l="1"/>
  <c r="J193" i="11"/>
  <c r="I194" i="11"/>
  <c r="B195" i="11"/>
  <c r="E194" i="11"/>
  <c r="C195" i="11"/>
  <c r="F194" i="11"/>
  <c r="G195" i="11"/>
  <c r="E195" i="11"/>
  <c r="C194" i="11"/>
  <c r="D195" i="11"/>
  <c r="F195" i="11"/>
  <c r="H195" i="11"/>
  <c r="G194" i="11"/>
  <c r="L194" i="11"/>
  <c r="D194" i="11"/>
  <c r="K194" i="11"/>
  <c r="J194" i="11" l="1"/>
  <c r="I195" i="11"/>
  <c r="J195" i="11"/>
  <c r="B196" i="11"/>
  <c r="L195" i="11"/>
  <c r="E196" i="11"/>
  <c r="F196" i="11"/>
  <c r="K195" i="11"/>
  <c r="G196" i="11"/>
  <c r="H196" i="11"/>
  <c r="D196" i="11"/>
  <c r="I196" i="11" l="1"/>
  <c r="B197" i="11"/>
  <c r="H197" i="11"/>
  <c r="E197" i="11"/>
  <c r="L196" i="11"/>
  <c r="C196" i="11"/>
  <c r="C197" i="11"/>
  <c r="D197" i="11"/>
  <c r="K196" i="11"/>
  <c r="J196" i="11" l="1"/>
  <c r="I197" i="11"/>
  <c r="J197" i="11"/>
  <c r="B198" i="11"/>
  <c r="L197" i="11"/>
  <c r="G198" i="11"/>
  <c r="F197" i="11"/>
  <c r="K197" i="11"/>
  <c r="G197" i="11"/>
  <c r="F198" i="11"/>
  <c r="E198" i="11"/>
  <c r="B199" i="11" l="1"/>
  <c r="D198" i="11"/>
  <c r="C198" i="11"/>
  <c r="K198" i="11"/>
  <c r="F199" i="11"/>
  <c r="G199" i="11"/>
  <c r="L198" i="11"/>
  <c r="H198" i="11"/>
  <c r="C199" i="11"/>
  <c r="J198" i="11" l="1"/>
  <c r="I198" i="11"/>
  <c r="B200" i="11"/>
  <c r="L199" i="11"/>
  <c r="E199" i="11"/>
  <c r="D200" i="11"/>
  <c r="H199" i="11"/>
  <c r="K199" i="11"/>
  <c r="D199" i="11"/>
  <c r="I199" i="11" l="1"/>
  <c r="J199" i="11"/>
  <c r="B201" i="11"/>
  <c r="G200" i="11"/>
  <c r="K200" i="11"/>
  <c r="L200" i="11"/>
  <c r="E200" i="11"/>
  <c r="E201" i="11"/>
  <c r="F200" i="11"/>
  <c r="D201" i="11"/>
  <c r="G201" i="11"/>
  <c r="H200" i="11"/>
  <c r="C201" i="11"/>
  <c r="H201" i="11"/>
  <c r="C200" i="11"/>
  <c r="F201" i="11"/>
  <c r="J200" i="11" l="1"/>
  <c r="I200" i="11"/>
  <c r="I201" i="11"/>
  <c r="J201" i="11"/>
  <c r="B202" i="11"/>
  <c r="D202" i="11"/>
  <c r="F202" i="11"/>
  <c r="L201" i="11"/>
  <c r="G202" i="11"/>
  <c r="K201" i="11"/>
  <c r="E202" i="11"/>
  <c r="B203" i="11" l="1"/>
  <c r="H203" i="11"/>
  <c r="H202" i="11"/>
  <c r="L202" i="11"/>
  <c r="C202" i="11"/>
  <c r="K202" i="11"/>
  <c r="I202" i="11" l="1"/>
  <c r="J202" i="11"/>
  <c r="I203" i="11"/>
  <c r="B204" i="11"/>
  <c r="H204" i="11"/>
  <c r="D203" i="11"/>
  <c r="D204" i="11"/>
  <c r="G204" i="11"/>
  <c r="E204" i="11"/>
  <c r="L203" i="11"/>
  <c r="G203" i="11"/>
  <c r="C204" i="11"/>
  <c r="F204" i="11"/>
  <c r="C203" i="11"/>
  <c r="F203" i="11"/>
  <c r="K203" i="11"/>
  <c r="E203" i="11"/>
  <c r="J203" i="11" l="1"/>
  <c r="J204" i="11"/>
  <c r="I204" i="11"/>
  <c r="B205" i="11"/>
  <c r="K204" i="11"/>
  <c r="E205" i="11"/>
  <c r="G205" i="11"/>
  <c r="D205" i="11"/>
  <c r="F205" i="11"/>
  <c r="L204" i="11"/>
  <c r="B206" i="11" l="1"/>
  <c r="H205" i="11"/>
  <c r="L205" i="11"/>
  <c r="H206" i="11"/>
  <c r="K205" i="11"/>
  <c r="C205" i="11"/>
  <c r="D206" i="11"/>
  <c r="E206" i="11"/>
  <c r="J205" i="11" l="1"/>
  <c r="I205" i="11"/>
  <c r="I206" i="11"/>
  <c r="B207" i="11"/>
  <c r="D207" i="11"/>
  <c r="F206" i="11"/>
  <c r="K206" i="11"/>
  <c r="L206" i="11"/>
  <c r="E207" i="11"/>
  <c r="G206" i="11"/>
  <c r="C206" i="11"/>
  <c r="J206" i="11" l="1"/>
  <c r="B208" i="11"/>
  <c r="D208" i="11"/>
  <c r="G207" i="11"/>
  <c r="C207" i="11"/>
  <c r="F208" i="11"/>
  <c r="H207" i="11"/>
  <c r="F207" i="11"/>
  <c r="L207" i="11"/>
  <c r="K207" i="11"/>
  <c r="I207" i="11" l="1"/>
  <c r="J207" i="11"/>
  <c r="B209" i="11"/>
  <c r="D209" i="11"/>
  <c r="H208" i="11"/>
  <c r="G209" i="11"/>
  <c r="G208" i="11"/>
  <c r="K208" i="11"/>
  <c r="E209" i="11"/>
  <c r="E208" i="11"/>
  <c r="F209" i="11"/>
  <c r="L208" i="11"/>
  <c r="C208" i="11"/>
  <c r="H209" i="11"/>
  <c r="I208" i="11" l="1"/>
  <c r="J208" i="11"/>
  <c r="I209" i="11"/>
  <c r="B210" i="11"/>
  <c r="L209" i="11"/>
  <c r="K209" i="11"/>
  <c r="G210" i="11"/>
  <c r="D210" i="11"/>
  <c r="C209" i="11"/>
  <c r="J209" i="11" l="1"/>
  <c r="B211" i="11"/>
  <c r="C210" i="11"/>
  <c r="H210" i="11"/>
  <c r="K210" i="11"/>
  <c r="L210" i="11"/>
  <c r="E210" i="11"/>
  <c r="F211" i="11"/>
  <c r="F210" i="11"/>
  <c r="J210" i="11" l="1"/>
  <c r="I210" i="11"/>
  <c r="B212" i="11"/>
  <c r="D211" i="11"/>
  <c r="L211" i="11"/>
  <c r="H212" i="11"/>
  <c r="H211" i="11"/>
  <c r="C211" i="11"/>
  <c r="E211" i="11"/>
  <c r="G212" i="11"/>
  <c r="G211" i="11"/>
  <c r="K211" i="11"/>
  <c r="I211" i="11" l="1"/>
  <c r="J211" i="11"/>
  <c r="I212" i="11"/>
  <c r="K212" i="11"/>
  <c r="D212" i="11"/>
  <c r="C212" i="11"/>
  <c r="L212" i="11"/>
  <c r="E212" i="11"/>
  <c r="F212" i="11"/>
  <c r="J212" i="11" l="1"/>
</calcChain>
</file>

<file path=xl/sharedStrings.xml><?xml version="1.0" encoding="utf-8"?>
<sst xmlns="http://schemas.openxmlformats.org/spreadsheetml/2006/main" count="9090" uniqueCount="812">
  <si>
    <t>System I/O Worksheet</t>
  </si>
  <si>
    <t>Use this sheet to work out all of the system I/O requirements. When you've defined enough nodes and the correct number of I/Os you can then create the System Parameters on the next tab, then fill out the Node tables for each node needed. You enter the items out lined in yellow and the results are calculated in the purple cells.</t>
  </si>
  <si>
    <t>Configuration</t>
  </si>
  <si>
    <t>In</t>
  </si>
  <si>
    <t>Out</t>
  </si>
  <si>
    <t>Wires</t>
  </si>
  <si>
    <t>Configurations</t>
  </si>
  <si>
    <t>PCB IO (Max Common Signals)</t>
  </si>
  <si>
    <t>CTC Double Track</t>
  </si>
  <si>
    <t>CMRI Node</t>
  </si>
  <si>
    <t>CTC OS Left</t>
  </si>
  <si>
    <t>Node 1</t>
  </si>
  <si>
    <t>cpNode</t>
  </si>
  <si>
    <t>BASE_NODE_16IN</t>
  </si>
  <si>
    <t>Switch Position Inputs:</t>
  </si>
  <si>
    <t>CTC OS Right</t>
  </si>
  <si>
    <t>IOX</t>
  </si>
  <si>
    <t>IOX32_32OUT_0</t>
  </si>
  <si>
    <t>Switch Position Outputs:</t>
  </si>
  <si>
    <t>CTC Single Track</t>
  </si>
  <si>
    <t>Node 2</t>
  </si>
  <si>
    <t>BASE_NODE_8IN8OUT</t>
  </si>
  <si>
    <t>CTC XOVR Left</t>
  </si>
  <si>
    <t>Power Inputs:</t>
  </si>
  <si>
    <t>CTC XOVR Right</t>
  </si>
  <si>
    <t>Node 3</t>
  </si>
  <si>
    <t>SMINI</t>
  </si>
  <si>
    <t>Total IO:</t>
  </si>
  <si>
    <t>Totals:</t>
  </si>
  <si>
    <t>Totals</t>
  </si>
  <si>
    <t>Remaining:</t>
  </si>
  <si>
    <t>DIR</t>
  </si>
  <si>
    <t>System Pin Name</t>
  </si>
  <si>
    <t>System Pin Number</t>
  </si>
  <si>
    <t>Description</t>
  </si>
  <si>
    <t>Example Validation Formula:</t>
  </si>
  <si>
    <t>Object Type</t>
  </si>
  <si>
    <t>TYPE</t>
  </si>
  <si>
    <t>Config</t>
  </si>
  <si>
    <t>For each worksheet tab that you have a node definition, enter its name on the left, the CMRINet Node address, and enter a string that defines the data range for the table--in this example, each node table has a named range.</t>
  </si>
  <si>
    <t>This list captures each DCC Stationary Decoder Address Associated with each module.</t>
  </si>
  <si>
    <t>List of possible DCC Accessory Decoder Addresses available for assignment.</t>
  </si>
  <si>
    <t>This table defines the jumper configuration options for the IOX devices. This does not need to be edited.</t>
  </si>
  <si>
    <t>This table defines the IOX software configuration settings. This does not need to be edited.</t>
  </si>
  <si>
    <t>This table defines the CMRINet terminal connections and the CMRINet Baud Rate</t>
  </si>
  <si>
    <t>This table defines the SMINI Baud Rate SW2 settings for the selected baud rate. This table does not need to be edited.</t>
  </si>
  <si>
    <t>IN</t>
  </si>
  <si>
    <t>J1-5</t>
  </si>
  <si>
    <t>Define all of the system connection points in this table. These are all of the destinations to/from all of the nodes in the system. In this example, there is a PCB board that is used on each module so the nodes connect to the ports on the PCB. All of the "IN" entries go first followed by all of the "OUT" entries. "IN" means it goes into the node and "OUT" means it comes from the node. The System Pin Name will be used in the mapping table to map the node I/O to the system connections. The System Pin Number can be used to indicate a pin or connector number.</t>
  </si>
  <si>
    <t>BASE_NODE</t>
  </si>
  <si>
    <t>OUT</t>
  </si>
  <si>
    <t>J1-6</t>
  </si>
  <si>
    <t>BASE_NODE_12IN4OUT</t>
  </si>
  <si>
    <t>J1-7</t>
  </si>
  <si>
    <t>BASE_NODE_12OUT4IN</t>
  </si>
  <si>
    <t>J1-8</t>
  </si>
  <si>
    <t>Signal</t>
  </si>
  <si>
    <t>J1-1</t>
  </si>
  <si>
    <t>BASE_NODE_16OUT</t>
  </si>
  <si>
    <t>J1-2</t>
  </si>
  <si>
    <t>Modules</t>
  </si>
  <si>
    <t>J1-3</t>
  </si>
  <si>
    <t>BASE_NODE_8OUT8IN</t>
  </si>
  <si>
    <t>Module Name</t>
  </si>
  <si>
    <t>DCC Address List</t>
  </si>
  <si>
    <t>DCC Decoder Addressess</t>
  </si>
  <si>
    <t>IOX Jumper Configuration</t>
  </si>
  <si>
    <t>IOX Sketch Config</t>
  </si>
  <si>
    <t>CMRINet Configuration</t>
  </si>
  <si>
    <t>SMINI Baud Rate Select</t>
  </si>
  <si>
    <t>J1-4</t>
  </si>
  <si>
    <t>This section defines the types of input and output devices used in the table to the left.</t>
  </si>
  <si>
    <t>BASE_NODE_RSMC</t>
  </si>
  <si>
    <t>This section defines all of the node configurations supported by this spreadsheet. cpNodes have multiple base configurations followed by multiple IOX configurations. On the other hand, the SMINI only comes in one configuration with a fixed number of inputs and outputs.</t>
  </si>
  <si>
    <t>-</t>
  </si>
  <si>
    <t>ADDR</t>
  </si>
  <si>
    <t>A0</t>
  </si>
  <si>
    <t>A1</t>
  </si>
  <si>
    <t>A2</t>
  </si>
  <si>
    <t>Setting</t>
  </si>
  <si>
    <t>Baud Rate:</t>
  </si>
  <si>
    <t>Baud Rate</t>
  </si>
  <si>
    <t>Value</t>
  </si>
  <si>
    <t>SW2</t>
  </si>
  <si>
    <t>TO-FB-NOR</t>
  </si>
  <si>
    <t>J7-1</t>
  </si>
  <si>
    <t xml:space="preserve">Do NOT modify the cell ordering in this worksheet. You can add to the columns if necessary but there are lookups used in the validation formulas that require the data to appear in the columns sorted as shown. </t>
  </si>
  <si>
    <t>BASE_NODE_SERVO</t>
  </si>
  <si>
    <t>IOX16_0</t>
  </si>
  <si>
    <t>ADDR 20</t>
  </si>
  <si>
    <t>IOX16_16IN_0</t>
  </si>
  <si>
    <t>Module Wiring</t>
  </si>
  <si>
    <t>TO-FB-REV</t>
  </si>
  <si>
    <t>J7-2</t>
  </si>
  <si>
    <t>cpNode/CMRI Nodes</t>
  </si>
  <si>
    <t>IOX16_1</t>
  </si>
  <si>
    <t>ADDR 21</t>
  </si>
  <si>
    <t>IOX16_16IN_1</t>
  </si>
  <si>
    <t>RS485</t>
  </si>
  <si>
    <t>T568A Wire</t>
  </si>
  <si>
    <t>T568A Pins</t>
  </si>
  <si>
    <t>RJ45TERM</t>
  </si>
  <si>
    <t>Undefined</t>
  </si>
  <si>
    <t>n/c</t>
  </si>
  <si>
    <t>Node Tab Name</t>
  </si>
  <si>
    <t>CMRI Node Addresses</t>
  </si>
  <si>
    <t>Data Range</t>
  </si>
  <si>
    <t>IOX16_2</t>
  </si>
  <si>
    <t>ADDR 22</t>
  </si>
  <si>
    <t>IOX16_16IN_2</t>
  </si>
  <si>
    <t>IN+</t>
  </si>
  <si>
    <t>ORA/WHT</t>
  </si>
  <si>
    <t>J3-4</t>
  </si>
  <si>
    <t>IOX16_3</t>
  </si>
  <si>
    <t>ADDR 23</t>
  </si>
  <si>
    <t>IOX16_16IN_3</t>
  </si>
  <si>
    <t>IN-</t>
  </si>
  <si>
    <t>ORA</t>
  </si>
  <si>
    <t>J3-2</t>
  </si>
  <si>
    <t>IOX16_4</t>
  </si>
  <si>
    <t>ADDR 24</t>
  </si>
  <si>
    <t>IOX16_16IN_4</t>
  </si>
  <si>
    <t>OUT+</t>
  </si>
  <si>
    <t>BLU/WHT</t>
  </si>
  <si>
    <t>J3-3</t>
  </si>
  <si>
    <t>IOX16_5</t>
  </si>
  <si>
    <t>ADDR 25</t>
  </si>
  <si>
    <t>IOX16_16IN_5</t>
  </si>
  <si>
    <t>OUT-</t>
  </si>
  <si>
    <t>BLU</t>
  </si>
  <si>
    <t>J3-1</t>
  </si>
  <si>
    <t>IOX16_6</t>
  </si>
  <si>
    <t>ADDR 26</t>
  </si>
  <si>
    <t>IOX16_16IN_6</t>
  </si>
  <si>
    <t>J2-7</t>
  </si>
  <si>
    <t>Unassigned</t>
  </si>
  <si>
    <t>IOX16_7</t>
  </si>
  <si>
    <t>ADDR 27</t>
  </si>
  <si>
    <t>IOX16_16IN_7</t>
  </si>
  <si>
    <t>J2-8</t>
  </si>
  <si>
    <t>IOX32_0</t>
  </si>
  <si>
    <t>ADDR 20-21</t>
  </si>
  <si>
    <t>n/a</t>
  </si>
  <si>
    <t>IOX16_16OUT_0</t>
  </si>
  <si>
    <t>IOX32_1</t>
  </si>
  <si>
    <t>ADDR 22-23</t>
  </si>
  <si>
    <t>IOX16_16OUT_1</t>
  </si>
  <si>
    <t>IOX32_2</t>
  </si>
  <si>
    <t>ADDR 24-25</t>
  </si>
  <si>
    <t>IOX16_16OUT_2</t>
  </si>
  <si>
    <t>IOX32_3</t>
  </si>
  <si>
    <t>ADDR 26-27</t>
  </si>
  <si>
    <t>IOX16_16OUT_3</t>
  </si>
  <si>
    <t>J4-2</t>
  </si>
  <si>
    <t>IOX16_16OUT_4</t>
  </si>
  <si>
    <t>J3-8</t>
  </si>
  <si>
    <t>IOX16_16OUT_5</t>
  </si>
  <si>
    <t>J4-1</t>
  </si>
  <si>
    <t>IOX16_16OUT_6</t>
  </si>
  <si>
    <t>J3-7</t>
  </si>
  <si>
    <t>IOX16_16OUT_7</t>
  </si>
  <si>
    <t>J3-5</t>
  </si>
  <si>
    <t>IOX16_8IN8OUT_0</t>
  </si>
  <si>
    <t>J3-6</t>
  </si>
  <si>
    <t>IOX16_8IN8OUT_1</t>
  </si>
  <si>
    <t>IOX16_8IN8OUT_2</t>
  </si>
  <si>
    <t>IOX16_8IN8OUT_3</t>
  </si>
  <si>
    <t>IOX16_8IN8OUT_4</t>
  </si>
  <si>
    <t>J2-6</t>
  </si>
  <si>
    <t>IOX16_8IN8OUT_5</t>
  </si>
  <si>
    <t>J2-4</t>
  </si>
  <si>
    <t>IOX16_8IN8OUT_6</t>
  </si>
  <si>
    <t>J2-5</t>
  </si>
  <si>
    <t>IOX16_8IN8OUT_7</t>
  </si>
  <si>
    <t>J2-3</t>
  </si>
  <si>
    <t>IOX32_16IN16OUT_0</t>
  </si>
  <si>
    <t>J2-1</t>
  </si>
  <si>
    <t>IOX32_16IN16OUT_1</t>
  </si>
  <si>
    <t>J2-2</t>
  </si>
  <si>
    <t>IOX32_16IN16OUT_2</t>
  </si>
  <si>
    <t>J4-8</t>
  </si>
  <si>
    <t>IOX32_16IN16OUT_3</t>
  </si>
  <si>
    <t>J4-6</t>
  </si>
  <si>
    <t>IOX32_24IN8OUT_0</t>
  </si>
  <si>
    <t>J4-7</t>
  </si>
  <si>
    <t>IOX32_24IN8OUT_1</t>
  </si>
  <si>
    <t>J4-5</t>
  </si>
  <si>
    <t>IOX32_24IN8OUT_2</t>
  </si>
  <si>
    <t>J4-3</t>
  </si>
  <si>
    <t>IOX32_24IN8OUT_3</t>
  </si>
  <si>
    <t>J4-4</t>
  </si>
  <si>
    <t>IOX32_32IN_0</t>
  </si>
  <si>
    <t>IOX32_32IN_1</t>
  </si>
  <si>
    <t>IOX32_32IN_2</t>
  </si>
  <si>
    <t>IOX32_32IN_3</t>
  </si>
  <si>
    <t>IOX32_32OUT_1</t>
  </si>
  <si>
    <t>IOX32_32OUT_2</t>
  </si>
  <si>
    <t>IOX32_32OUT_3</t>
  </si>
  <si>
    <t>IOX32_8IN24OUT_0</t>
  </si>
  <si>
    <t>IOX32_8IN24OUT_1</t>
  </si>
  <si>
    <t>IOX32_8IN24OUT_2</t>
  </si>
  <si>
    <t>IOX32_8IN24OUT_3</t>
  </si>
  <si>
    <t>cpNode Configuration Worksheet</t>
  </si>
  <si>
    <t>IOX Address Workspace</t>
  </si>
  <si>
    <t>Global Input Parameters</t>
  </si>
  <si>
    <t>Sketch Software Settings:</t>
  </si>
  <si>
    <t>Node Name</t>
  </si>
  <si>
    <t>cpNode Addresses Assigned</t>
  </si>
  <si>
    <t>Select Base Node:</t>
  </si>
  <si>
    <t xml:space="preserve"> Total Base Node I/O =</t>
  </si>
  <si>
    <t>IOX Jumpers:</t>
  </si>
  <si>
    <t>Config. Status:</t>
  </si>
  <si>
    <t>0x20</t>
  </si>
  <si>
    <t>Select IOX Configuration: Define the IOX node at each of the addresses shown on the left. These MUST be in order or the configuration is invalid.</t>
  </si>
  <si>
    <t>Total Pins Allocated</t>
  </si>
  <si>
    <t>0x21</t>
  </si>
  <si>
    <t>Total IOX16 8-bit Ports</t>
  </si>
  <si>
    <t>0x22</t>
  </si>
  <si>
    <t>Total IOX32 8-bit Ports</t>
  </si>
  <si>
    <t>0x23</t>
  </si>
  <si>
    <t>Total IOX 8-bit Ports Possible</t>
  </si>
  <si>
    <t>0x24</t>
  </si>
  <si>
    <t>Total IOX 8-bit Ports Unallocated</t>
  </si>
  <si>
    <t>Summary Checks:</t>
  </si>
  <si>
    <t>0x25</t>
  </si>
  <si>
    <t>Total IOX16 Boards Available to Add</t>
  </si>
  <si>
    <t>0x26</t>
  </si>
  <si>
    <t>Total IOX32 Boards Available to Add</t>
  </si>
  <si>
    <t>0x27</t>
  </si>
  <si>
    <t>Direction</t>
  </si>
  <si>
    <t>CATS Object Name</t>
  </si>
  <si>
    <t>DCC Address</t>
  </si>
  <si>
    <t>Node Type</t>
  </si>
  <si>
    <t>Node Offset</t>
  </si>
  <si>
    <t>Bit</t>
  </si>
  <si>
    <t>Node Pin Name</t>
  </si>
  <si>
    <t>JMRI Table System Name</t>
  </si>
  <si>
    <t>JMRI Address</t>
  </si>
  <si>
    <t>Notes</t>
  </si>
  <si>
    <t>SMINI Configuration Worksheet</t>
  </si>
  <si>
    <t>SMINI Board Settings</t>
  </si>
  <si>
    <t>USIC ADDRESS</t>
  </si>
  <si>
    <t>BAUD RATE</t>
  </si>
  <si>
    <t>CMRINet Baud Rate:</t>
  </si>
  <si>
    <t>SW1:</t>
  </si>
  <si>
    <t>SW2:</t>
  </si>
  <si>
    <t>0=Switch Off, 1=Switch On</t>
  </si>
  <si>
    <t>SMINI Addresses Assigned</t>
  </si>
  <si>
    <t>Node Configuration</t>
  </si>
  <si>
    <t>The SMINI has a fixed I/O configuration and only supports a total of 72 I/O.</t>
  </si>
  <si>
    <t>Device Map - Maps each cpNode/SMINI configured in the "Node x" tabs to the destination connections (Module PCB Boards in this case)</t>
  </si>
  <si>
    <t>Column Indices:</t>
  </si>
  <si>
    <t>Node</t>
  </si>
  <si>
    <t>Row</t>
  </si>
  <si>
    <t>Module</t>
  </si>
  <si>
    <t>Object Name</t>
  </si>
  <si>
    <t>This page defines the physical terminal block pin names for each configuration of the cpNodes, IOX modules, and SMINIs. DO NOT EDIT.</t>
  </si>
  <si>
    <t>Inputs</t>
  </si>
  <si>
    <t>Outputs</t>
  </si>
  <si>
    <t>A3</t>
  </si>
  <si>
    <t>A4</t>
  </si>
  <si>
    <t>A5</t>
  </si>
  <si>
    <t>A6</t>
  </si>
  <si>
    <t>A7</t>
  </si>
  <si>
    <t>A8</t>
  </si>
  <si>
    <t>A9</t>
  </si>
  <si>
    <t>D8</t>
  </si>
  <si>
    <t>D9</t>
  </si>
  <si>
    <t>D10</t>
  </si>
  <si>
    <t>D11</t>
  </si>
  <si>
    <t>D12</t>
  </si>
  <si>
    <t>D13</t>
  </si>
  <si>
    <t>BASE_NODE_12IN4OUT*</t>
  </si>
  <si>
    <t>D4</t>
  </si>
  <si>
    <t>D5</t>
  </si>
  <si>
    <t>D6</t>
  </si>
  <si>
    <t>D7</t>
  </si>
  <si>
    <t>2:A0</t>
  </si>
  <si>
    <t>2:A1</t>
  </si>
  <si>
    <t>2:A2</t>
  </si>
  <si>
    <t>2:A3</t>
  </si>
  <si>
    <t>2:A4</t>
  </si>
  <si>
    <t>2:A5</t>
  </si>
  <si>
    <t>2:A6</t>
  </si>
  <si>
    <t>2:A7</t>
  </si>
  <si>
    <t>2:B0</t>
  </si>
  <si>
    <t>2:B1</t>
  </si>
  <si>
    <t>2:B2</t>
  </si>
  <si>
    <t>2:B3</t>
  </si>
  <si>
    <t>2:B4</t>
  </si>
  <si>
    <t>2:B5</t>
  </si>
  <si>
    <t>2:B6</t>
  </si>
  <si>
    <t>2:B7</t>
  </si>
  <si>
    <t>2:C0</t>
  </si>
  <si>
    <t>2:C1</t>
  </si>
  <si>
    <t>2:C2</t>
  </si>
  <si>
    <t>2:C3</t>
  </si>
  <si>
    <t>2:C4</t>
  </si>
  <si>
    <t>2:C5</t>
  </si>
  <si>
    <t>2:C6</t>
  </si>
  <si>
    <t>2:C7</t>
  </si>
  <si>
    <t>0:A0</t>
  </si>
  <si>
    <t>0:A1</t>
  </si>
  <si>
    <t>0:A2</t>
  </si>
  <si>
    <t>0:A3</t>
  </si>
  <si>
    <t>0:A4</t>
  </si>
  <si>
    <t>0:A5</t>
  </si>
  <si>
    <t>0:A6</t>
  </si>
  <si>
    <t>0:A7</t>
  </si>
  <si>
    <t>0:B0</t>
  </si>
  <si>
    <t>0:B1</t>
  </si>
  <si>
    <t>0:B2</t>
  </si>
  <si>
    <t>0:B3</t>
  </si>
  <si>
    <t>0:B4</t>
  </si>
  <si>
    <t>0:B5</t>
  </si>
  <si>
    <t>0:B6</t>
  </si>
  <si>
    <t>0:B7</t>
  </si>
  <si>
    <t>0:C0</t>
  </si>
  <si>
    <t>0:C1</t>
  </si>
  <si>
    <t>0:C2</t>
  </si>
  <si>
    <t>0:C3</t>
  </si>
  <si>
    <t>0:C4</t>
  </si>
  <si>
    <t>0:C5</t>
  </si>
  <si>
    <t>0:C6</t>
  </si>
  <si>
    <t>0:C7</t>
  </si>
  <si>
    <t>1:A0</t>
  </si>
  <si>
    <t>1:A1</t>
  </si>
  <si>
    <t>1:A2</t>
  </si>
  <si>
    <t>1:A3</t>
  </si>
  <si>
    <t>1:A4</t>
  </si>
  <si>
    <t>1:A5</t>
  </si>
  <si>
    <t>1:A6</t>
  </si>
  <si>
    <t>1:A7</t>
  </si>
  <si>
    <t>1:B0</t>
  </si>
  <si>
    <t>1:B1</t>
  </si>
  <si>
    <t>1:B2</t>
  </si>
  <si>
    <t>1:B3</t>
  </si>
  <si>
    <t>1:B4</t>
  </si>
  <si>
    <t>1:B5</t>
  </si>
  <si>
    <t>1:B6</t>
  </si>
  <si>
    <t>1:B7</t>
  </si>
  <si>
    <t>1:C0</t>
  </si>
  <si>
    <t>1:C1</t>
  </si>
  <si>
    <t>1:C2</t>
  </si>
  <si>
    <t>1:C3</t>
  </si>
  <si>
    <t>1:C4</t>
  </si>
  <si>
    <t>1:C5</t>
  </si>
  <si>
    <t>1:C6</t>
  </si>
  <si>
    <t>1:C7</t>
  </si>
  <si>
    <t>DA0</t>
  </si>
  <si>
    <t>DA1</t>
  </si>
  <si>
    <t>DA2</t>
  </si>
  <si>
    <t>DA3</t>
  </si>
  <si>
    <t>DA4</t>
  </si>
  <si>
    <t>DA5</t>
  </si>
  <si>
    <t>DA6</t>
  </si>
  <si>
    <t>DA7</t>
  </si>
  <si>
    <t>DB0</t>
  </si>
  <si>
    <t>DB1</t>
  </si>
  <si>
    <t>DB2</t>
  </si>
  <si>
    <t>DB3</t>
  </si>
  <si>
    <t>DB4</t>
  </si>
  <si>
    <t>DB5</t>
  </si>
  <si>
    <t>DB6</t>
  </si>
  <si>
    <t>DB7</t>
  </si>
  <si>
    <t>lo_DA0</t>
  </si>
  <si>
    <t>lo_DA1</t>
  </si>
  <si>
    <t>lo_DA2</t>
  </si>
  <si>
    <t>lo_DA3</t>
  </si>
  <si>
    <t>lo_DA4</t>
  </si>
  <si>
    <t>lo_DA5</t>
  </si>
  <si>
    <t>lo_DA6</t>
  </si>
  <si>
    <t>lo_DA7</t>
  </si>
  <si>
    <t>lo_DB0</t>
  </si>
  <si>
    <t>lo_DB1</t>
  </si>
  <si>
    <t>lo_DB2</t>
  </si>
  <si>
    <t>lo_DB3</t>
  </si>
  <si>
    <t>lo_DB4</t>
  </si>
  <si>
    <t>lo_DB5</t>
  </si>
  <si>
    <t>lo_DB6</t>
  </si>
  <si>
    <t>lo_DB7</t>
  </si>
  <si>
    <t>hi_DA0</t>
  </si>
  <si>
    <t>hi_DA1</t>
  </si>
  <si>
    <t>hi_DA2</t>
  </si>
  <si>
    <t>hi_DA3</t>
  </si>
  <si>
    <t>hi_DA4</t>
  </si>
  <si>
    <t>hi_DA5</t>
  </si>
  <si>
    <t>hi_DA6</t>
  </si>
  <si>
    <t>hi_DA7</t>
  </si>
  <si>
    <t>hi_DB0</t>
  </si>
  <si>
    <t>hi_DB1</t>
  </si>
  <si>
    <t>hi_DB2</t>
  </si>
  <si>
    <t>hi_DB3</t>
  </si>
  <si>
    <t>hi_DB4</t>
  </si>
  <si>
    <t>hi_DB5</t>
  </si>
  <si>
    <t>hi_DB6</t>
  </si>
  <si>
    <t>hi_DB7</t>
  </si>
  <si>
    <t>NOTE: The above table MUST be sorted A-Z on the first column, otherwise any lookup functions operating on this table will not return the correct results.</t>
  </si>
  <si>
    <t>This page defines the JMRI/CATS pin names for each configuration of the cpNodes, IOX modules, and SMINIs. DO NOT EDIT.</t>
  </si>
  <si>
    <t>CSn001</t>
  </si>
  <si>
    <t>CSn002</t>
  </si>
  <si>
    <t>CSn003</t>
  </si>
  <si>
    <t>CSn004</t>
  </si>
  <si>
    <t>CSn005</t>
  </si>
  <si>
    <t>CSn006</t>
  </si>
  <si>
    <t>CTn001</t>
  </si>
  <si>
    <t>CTn002</t>
  </si>
  <si>
    <t>CTn003</t>
  </si>
  <si>
    <t>CTn004</t>
  </si>
  <si>
    <t>CTn005</t>
  </si>
  <si>
    <t>CTn006</t>
  </si>
  <si>
    <t>CTn007</t>
  </si>
  <si>
    <t>CTn008</t>
  </si>
  <si>
    <t>CTn009</t>
  </si>
  <si>
    <t>CTn010</t>
  </si>
  <si>
    <t>CSn007</t>
  </si>
  <si>
    <t>CSn008</t>
  </si>
  <si>
    <t>CSn009</t>
  </si>
  <si>
    <t>CSn010</t>
  </si>
  <si>
    <t>CSn011</t>
  </si>
  <si>
    <t>CSn012</t>
  </si>
  <si>
    <t>CTn011</t>
  </si>
  <si>
    <t>CTn012</t>
  </si>
  <si>
    <t>CSn013</t>
  </si>
  <si>
    <t>CSn014</t>
  </si>
  <si>
    <t>CSn015</t>
  </si>
  <si>
    <t>CSn016</t>
  </si>
  <si>
    <t>CTn013</t>
  </si>
  <si>
    <t>CTn014</t>
  </si>
  <si>
    <t>CTn015</t>
  </si>
  <si>
    <t>CTn016</t>
  </si>
  <si>
    <t>CSn017</t>
  </si>
  <si>
    <t>CSn018</t>
  </si>
  <si>
    <t>CSn019</t>
  </si>
  <si>
    <t>CSn020</t>
  </si>
  <si>
    <t>CSn021</t>
  </si>
  <si>
    <t>CSn022</t>
  </si>
  <si>
    <t>CSn023</t>
  </si>
  <si>
    <t>CSn024</t>
  </si>
  <si>
    <t>CTn017</t>
  </si>
  <si>
    <t>CTn018</t>
  </si>
  <si>
    <t>CTn019</t>
  </si>
  <si>
    <t>CTn020</t>
  </si>
  <si>
    <t>CTn021</t>
  </si>
  <si>
    <t>CTn022</t>
  </si>
  <si>
    <t>CTn023</t>
  </si>
  <si>
    <t>CTn024</t>
  </si>
  <si>
    <t>CTn025</t>
  </si>
  <si>
    <t>CTn026</t>
  </si>
  <si>
    <t>CTn027</t>
  </si>
  <si>
    <t>CTn028</t>
  </si>
  <si>
    <t>CTn029</t>
  </si>
  <si>
    <t>CTn030</t>
  </si>
  <si>
    <t>CTn031</t>
  </si>
  <si>
    <t>CTn032</t>
  </si>
  <si>
    <t>CTn033</t>
  </si>
  <si>
    <t>CTn034</t>
  </si>
  <si>
    <t>CTn035</t>
  </si>
  <si>
    <t>CTn036</t>
  </si>
  <si>
    <t>CTn037</t>
  </si>
  <si>
    <t>CTn038</t>
  </si>
  <si>
    <t>CTn039</t>
  </si>
  <si>
    <t>CTn040</t>
  </si>
  <si>
    <t>CTn041</t>
  </si>
  <si>
    <t>CTn042</t>
  </si>
  <si>
    <t>CTn043</t>
  </si>
  <si>
    <t>CTn044</t>
  </si>
  <si>
    <t>CTn045</t>
  </si>
  <si>
    <t>CTn046</t>
  </si>
  <si>
    <t>CTn047</t>
  </si>
  <si>
    <t>CTn048</t>
  </si>
  <si>
    <t>CSn025</t>
  </si>
  <si>
    <t>CSn026</t>
  </si>
  <si>
    <t>CSn027</t>
  </si>
  <si>
    <t>CSn028</t>
  </si>
  <si>
    <t>CSn029</t>
  </si>
  <si>
    <t>CSn030</t>
  </si>
  <si>
    <t>CSn031</t>
  </si>
  <si>
    <t>CSn032</t>
  </si>
  <si>
    <t>CSn033</t>
  </si>
  <si>
    <t>CSn034</t>
  </si>
  <si>
    <t>CSn035</t>
  </si>
  <si>
    <t>CSn036</t>
  </si>
  <si>
    <t>CSn037</t>
  </si>
  <si>
    <t>CSn038</t>
  </si>
  <si>
    <t>CSn039</t>
  </si>
  <si>
    <t>CSn040</t>
  </si>
  <si>
    <t>CSn041</t>
  </si>
  <si>
    <t>CSn042</t>
  </si>
  <si>
    <t>CSn043</t>
  </si>
  <si>
    <t>CSn044</t>
  </si>
  <si>
    <t>CSn045</t>
  </si>
  <si>
    <t>CSn046</t>
  </si>
  <si>
    <t>CSn047</t>
  </si>
  <si>
    <t xml:space="preserve"> CSn048</t>
  </si>
  <si>
    <t>Node Connection Counts</t>
  </si>
  <si>
    <t>Node Totals</t>
  </si>
  <si>
    <t>Module Totals</t>
  </si>
  <si>
    <t>Node 4</t>
  </si>
  <si>
    <t>Node 5</t>
  </si>
  <si>
    <t>Node 6</t>
  </si>
  <si>
    <t>1) Create enough rows to accommodate the total I/O for all modules. 2) Set the Node name in the first column.</t>
  </si>
  <si>
    <t>Turnout Pushbutton Outputs:</t>
  </si>
  <si>
    <t>Block Detector Outputs:</t>
  </si>
  <si>
    <t>Signal Lamp Inputs:</t>
  </si>
  <si>
    <t>BUS Name</t>
  </si>
  <si>
    <t>Module Pin</t>
  </si>
  <si>
    <t>AMx_SIG1_H0</t>
  </si>
  <si>
    <t>AMx_SIG1_H1</t>
  </si>
  <si>
    <t>AMx_SIG1_H2</t>
  </si>
  <si>
    <t>AMx_SIG1_H3</t>
  </si>
  <si>
    <t>AMx_SIG1_H4</t>
  </si>
  <si>
    <t>AMx_SIG1_H5</t>
  </si>
  <si>
    <t>AMx_SIG2_H0</t>
  </si>
  <si>
    <t>AMx_SIG2_H1</t>
  </si>
  <si>
    <t>AMx_SIG2_H2</t>
  </si>
  <si>
    <t>AMx_SIG2_H3</t>
  </si>
  <si>
    <t>AMx_SIG2_H4</t>
  </si>
  <si>
    <t>AMx_SIG2_H5</t>
  </si>
  <si>
    <t>AMx_SIG3_H0</t>
  </si>
  <si>
    <t>AMx_SIG3_H1</t>
  </si>
  <si>
    <t>AMx_SIG3_H2</t>
  </si>
  <si>
    <t>AMx_SIG3_H3</t>
  </si>
  <si>
    <t>AMx_SIG3_H4</t>
  </si>
  <si>
    <t>AMx_SIG3_H5</t>
  </si>
  <si>
    <t>AMx_SIG4_H0</t>
  </si>
  <si>
    <t>AMx_SIG4_H1</t>
  </si>
  <si>
    <t>AMx_SIG4_H2</t>
  </si>
  <si>
    <t>AMx_SIG4_H3</t>
  </si>
  <si>
    <t>AMx_SIG4_H4</t>
  </si>
  <si>
    <t>AMx_SIG4_H5</t>
  </si>
  <si>
    <t>AMx_BLOCK0</t>
  </si>
  <si>
    <t>OM-TS1</t>
  </si>
  <si>
    <t>AMx_BLOCK1</t>
  </si>
  <si>
    <t>AMx_BLOCK2</t>
  </si>
  <si>
    <t>AMx_BLOCK3</t>
  </si>
  <si>
    <t>OM-TS2</t>
  </si>
  <si>
    <t>OM-TS3</t>
  </si>
  <si>
    <t>OM-TS4</t>
  </si>
  <si>
    <t>AMx_BLOCK4</t>
  </si>
  <si>
    <t>AMx_BLOCK5</t>
  </si>
  <si>
    <t>AMx_BLOCK6</t>
  </si>
  <si>
    <t>AMx_BLOCK7</t>
  </si>
  <si>
    <t>IM-TS1</t>
  </si>
  <si>
    <t>IM-TS2</t>
  </si>
  <si>
    <t>IM-TS3</t>
  </si>
  <si>
    <t>IM-TS4</t>
  </si>
  <si>
    <t>Active Module 6 Configuration</t>
  </si>
  <si>
    <t>Active Module 5 Configuration</t>
  </si>
  <si>
    <t>Active Module 4 Configuration</t>
  </si>
  <si>
    <t>Active Module 3 Configuration</t>
  </si>
  <si>
    <t>Active Module 2 Configuration</t>
  </si>
  <si>
    <t>Active Module 1 Configuration</t>
  </si>
  <si>
    <t>AM1_SIG1_H0</t>
  </si>
  <si>
    <t>AM1_SIG1_H1</t>
  </si>
  <si>
    <t>AM1_SIG1_H2</t>
  </si>
  <si>
    <t>AM1_SIG1_H3</t>
  </si>
  <si>
    <t>AM1_SIG1_H4</t>
  </si>
  <si>
    <t>AM1_SIG1_H5</t>
  </si>
  <si>
    <t>AM1_SIG2_H0</t>
  </si>
  <si>
    <t>AM1_SIG2_H1</t>
  </si>
  <si>
    <t>AM1_SIG2_H2</t>
  </si>
  <si>
    <t>AM1_SIG2_H3</t>
  </si>
  <si>
    <t>AM1_SIG2_H4</t>
  </si>
  <si>
    <t>AM1_SIG2_H5</t>
  </si>
  <si>
    <t>AM1_BLOCK0</t>
  </si>
  <si>
    <t>AM1_BLOCK1</t>
  </si>
  <si>
    <t>AM1_BLOCK4</t>
  </si>
  <si>
    <t>AM2_SIG2_H5</t>
  </si>
  <si>
    <t>AM2_SIG2_H4</t>
  </si>
  <si>
    <t>AM2_SIG2_H3</t>
  </si>
  <si>
    <t>AM2_SIG2_H2</t>
  </si>
  <si>
    <t>AM2_SIG2_H1</t>
  </si>
  <si>
    <t>AM2_SIG2_H0</t>
  </si>
  <si>
    <t>AM2_SIG1_H5</t>
  </si>
  <si>
    <t>AM2_SIG1_H4</t>
  </si>
  <si>
    <t>AM2_SIG1_H3</t>
  </si>
  <si>
    <t>AM2_SIG1_H2</t>
  </si>
  <si>
    <t>AM2_SIG1_H1</t>
  </si>
  <si>
    <t>AM2_SIG1_H0</t>
  </si>
  <si>
    <t>AM2_SIG3_H0</t>
  </si>
  <si>
    <t>AM2_SIG3_H5</t>
  </si>
  <si>
    <t>AM2_SIG3_H4</t>
  </si>
  <si>
    <t>AM2_SIG3_H3</t>
  </si>
  <si>
    <t>AM2_SIG3_H2</t>
  </si>
  <si>
    <t>AM2_SIG3_H1</t>
  </si>
  <si>
    <t>AM2_SIG4_H5</t>
  </si>
  <si>
    <t>AM2_SIG4_H4</t>
  </si>
  <si>
    <t>AM2_SIG4_H3</t>
  </si>
  <si>
    <t>AM2_SIG4_H2</t>
  </si>
  <si>
    <t>AM2_SIG4_H1</t>
  </si>
  <si>
    <t>AM2_SIG4_H0</t>
  </si>
  <si>
    <t>AM2_BLOCK0</t>
  </si>
  <si>
    <t>AM2_BLOCK1</t>
  </si>
  <si>
    <t>AM2_BLOCK4</t>
  </si>
  <si>
    <t>AM2_BLOCK5</t>
  </si>
  <si>
    <t>AM3_BLOCK0</t>
  </si>
  <si>
    <t>AM3_BLOCK1</t>
  </si>
  <si>
    <t>AM3_BLOCK4</t>
  </si>
  <si>
    <t>AM3_BLOCK5</t>
  </si>
  <si>
    <t>AM3_SIG2_H5</t>
  </si>
  <si>
    <t>AM3_SIG2_H4</t>
  </si>
  <si>
    <t>AM3_SIG2_H3</t>
  </si>
  <si>
    <t>AM3_SIG2_H2</t>
  </si>
  <si>
    <t>AM3_SIG2_H1</t>
  </si>
  <si>
    <t>AM3_SIG2_H0</t>
  </si>
  <si>
    <t>AM3_SIG1_H5</t>
  </si>
  <si>
    <t>AM3_SIG1_H4</t>
  </si>
  <si>
    <t>AM3_SIG1_H3</t>
  </si>
  <si>
    <t>AM3_SIG1_H2</t>
  </si>
  <si>
    <t>AM3_SIG1_H1</t>
  </si>
  <si>
    <t>AM3_SIG1_H0</t>
  </si>
  <si>
    <t>AM3_SIG4_H5</t>
  </si>
  <si>
    <t>AM3_SIG4_H4</t>
  </si>
  <si>
    <t>AM3_SIG4_H3</t>
  </si>
  <si>
    <t>AM3_SIG4_H2</t>
  </si>
  <si>
    <t>AM3_SIG4_H1</t>
  </si>
  <si>
    <t>AM3_SIG4_H0</t>
  </si>
  <si>
    <t>AM3_SIG3_H5</t>
  </si>
  <si>
    <t>AM3_SIG3_H4</t>
  </si>
  <si>
    <t>AM3_SIG3_H3</t>
  </si>
  <si>
    <t>AM3_SIG3_H2</t>
  </si>
  <si>
    <t>AM3_SIG3_H1</t>
  </si>
  <si>
    <t>AM3_SIG3_H0</t>
  </si>
  <si>
    <t>AM4_BLOCK0</t>
  </si>
  <si>
    <t>AM4_BLOCK1</t>
  </si>
  <si>
    <t>AM4_BLOCK4</t>
  </si>
  <si>
    <t>AM4_BLOCK5</t>
  </si>
  <si>
    <t>AM4_SIG2_H5</t>
  </si>
  <si>
    <t>AM4_SIG2_H4</t>
  </si>
  <si>
    <t>AM4_SIG2_H3</t>
  </si>
  <si>
    <t>AM4_SIG2_H2</t>
  </si>
  <si>
    <t>AM4_SIG2_H1</t>
  </si>
  <si>
    <t>AM4_SIG2_H0</t>
  </si>
  <si>
    <t>AM4_SIG1_H5</t>
  </si>
  <si>
    <t>AM4_SIG1_H4</t>
  </si>
  <si>
    <t>AM4_SIG1_H3</t>
  </si>
  <si>
    <t>AM4_SIG1_H2</t>
  </si>
  <si>
    <t>AM4_SIG1_H1</t>
  </si>
  <si>
    <t>AM4_SIG1_H0</t>
  </si>
  <si>
    <t>AM4_SIG4_H5</t>
  </si>
  <si>
    <t>AM4_SIG4_H4</t>
  </si>
  <si>
    <t>AM4_SIG4_H3</t>
  </si>
  <si>
    <t>AM4_SIG4_H2</t>
  </si>
  <si>
    <t>AM4_SIG4_H1</t>
  </si>
  <si>
    <t>AM4_SIG4_H0</t>
  </si>
  <si>
    <t>AM4_SIG3_H5</t>
  </si>
  <si>
    <t>AM4_SIG3_H4</t>
  </si>
  <si>
    <t>AM4_SIG3_H3</t>
  </si>
  <si>
    <t>AM4_SIG3_H2</t>
  </si>
  <si>
    <t>AM4_SIG3_H1</t>
  </si>
  <si>
    <t>AM4_SIG3_H0</t>
  </si>
  <si>
    <t>AM5_BLOCK0</t>
  </si>
  <si>
    <t>AM5_BLOCK1</t>
  </si>
  <si>
    <t>AM5_BLOCK4</t>
  </si>
  <si>
    <t>AM5_BLOCK5</t>
  </si>
  <si>
    <t>AM5_SIG2_H5</t>
  </si>
  <si>
    <t>AM5_SIG2_H4</t>
  </si>
  <si>
    <t>AM5_SIG2_H3</t>
  </si>
  <si>
    <t>AM5_SIG2_H2</t>
  </si>
  <si>
    <t>AM5_SIG2_H1</t>
  </si>
  <si>
    <t>AM5_SIG2_H0</t>
  </si>
  <si>
    <t>AM5_SIG1_H5</t>
  </si>
  <si>
    <t>AM5_SIG1_H4</t>
  </si>
  <si>
    <t>AM5_SIG1_H3</t>
  </si>
  <si>
    <t>AM5_SIG1_H2</t>
  </si>
  <si>
    <t>AM5_SIG1_H1</t>
  </si>
  <si>
    <t>AM5_SIG1_H0</t>
  </si>
  <si>
    <t>AM5_SIG3_H2</t>
  </si>
  <si>
    <t>AM5_SIG3_H1</t>
  </si>
  <si>
    <t>AM5_SIG3_H0</t>
  </si>
  <si>
    <t>AM6_BLOCK0</t>
  </si>
  <si>
    <t>AM6_BLOCK1</t>
  </si>
  <si>
    <t>AM6_SIG2_H5</t>
  </si>
  <si>
    <t>AM6_SIG2_H4</t>
  </si>
  <si>
    <t>AM6_SIG2_H3</t>
  </si>
  <si>
    <t>AM6_SIG2_H2</t>
  </si>
  <si>
    <t>AM6_SIG2_H1</t>
  </si>
  <si>
    <t>AM6_SIG2_H0</t>
  </si>
  <si>
    <t>AM6_SIG1_H5</t>
  </si>
  <si>
    <t>AM6_SIG1_H4</t>
  </si>
  <si>
    <t>AM6_SIG1_H3</t>
  </si>
  <si>
    <t>AM6_SIG1_H2</t>
  </si>
  <si>
    <t>AM6_SIG1_H1</t>
  </si>
  <si>
    <t>AM6_SIG1_H0</t>
  </si>
  <si>
    <t>Total</t>
  </si>
  <si>
    <t>Schematic Net</t>
  </si>
  <si>
    <t>Wire Color</t>
  </si>
  <si>
    <t>Red</t>
  </si>
  <si>
    <t>Black</t>
  </si>
  <si>
    <t>Yellow</t>
  </si>
  <si>
    <t>Green</t>
  </si>
  <si>
    <t>White</t>
  </si>
  <si>
    <t>Gray</t>
  </si>
  <si>
    <t>Purple</t>
  </si>
  <si>
    <t>Blue</t>
  </si>
  <si>
    <t>Orange</t>
  </si>
  <si>
    <t>Brown</t>
  </si>
  <si>
    <t>Pin</t>
  </si>
  <si>
    <t>DCCA</t>
  </si>
  <si>
    <t>DCCB</t>
  </si>
  <si>
    <t>Maximum:</t>
  </si>
  <si>
    <t>Total Node I/O</t>
  </si>
  <si>
    <t>CTC_SINGLE_TRACK</t>
  </si>
  <si>
    <t>CTC_DOUBLE_TRACK</t>
  </si>
  <si>
    <t>CTC_OS_LEFT</t>
  </si>
  <si>
    <t>CTC_OS_RIGHT</t>
  </si>
  <si>
    <t>CTC_XOVR_LEFT</t>
  </si>
  <si>
    <t>CTC_XOVR_RIGHT</t>
  </si>
  <si>
    <t>SINGLE_TRACK</t>
  </si>
  <si>
    <t>DOUBLE_TRACK</t>
  </si>
  <si>
    <t>Route Selected Report</t>
  </si>
  <si>
    <t>Select Route Command</t>
  </si>
  <si>
    <t>Signal Head</t>
  </si>
  <si>
    <t>OME:TS1</t>
  </si>
  <si>
    <t>OME:TS2</t>
  </si>
  <si>
    <t>OME:TS3</t>
  </si>
  <si>
    <t>OME:ETS4</t>
  </si>
  <si>
    <t>OME:DBL:HEAD1:GRN</t>
  </si>
  <si>
    <t>OME:DBL:HEAD1:RED</t>
  </si>
  <si>
    <t>OME:DBL:HEAD1:YEL</t>
  </si>
  <si>
    <t>OME:DBL:HEAD0:GRN</t>
  </si>
  <si>
    <t>OME:DBL:HEAD0:RED</t>
  </si>
  <si>
    <t>OME:DBL:HEAD0:YEL</t>
  </si>
  <si>
    <t>OME:B-G</t>
  </si>
  <si>
    <t>OME:B-Y</t>
  </si>
  <si>
    <t>OME:B-R</t>
  </si>
  <si>
    <t>OME:T-G</t>
  </si>
  <si>
    <t>OME:T-Y</t>
  </si>
  <si>
    <t>OME:T-R</t>
  </si>
  <si>
    <t>OMW:DBL:HEAD1:GRN</t>
  </si>
  <si>
    <t>OMW:DBL:HEAD1:RED</t>
  </si>
  <si>
    <t>OMW:DBL:HEAD1:YEL</t>
  </si>
  <si>
    <t>OMW:DBL:HEAD0:GRN</t>
  </si>
  <si>
    <t>OMW:DBL:HEAD0:RED</t>
  </si>
  <si>
    <t>OMW:DBL:HEAD0:YEL</t>
  </si>
  <si>
    <t>OMW:B-G</t>
  </si>
  <si>
    <t>OMW:B-Y</t>
  </si>
  <si>
    <t>OMW:B-R</t>
  </si>
  <si>
    <t>OMW:T-G</t>
  </si>
  <si>
    <t>OMW:T-Y</t>
  </si>
  <si>
    <t>OMW:T-R</t>
  </si>
  <si>
    <t>IMW:TS1</t>
  </si>
  <si>
    <t>IMW:TS2</t>
  </si>
  <si>
    <t>IMW:TS3</t>
  </si>
  <si>
    <t>IMW:ETS4</t>
  </si>
  <si>
    <t>IMW:DBL:HEAD1:GRN</t>
  </si>
  <si>
    <t>IMW:DBL:HEAD1:RED</t>
  </si>
  <si>
    <t>IMW:DBL:HEAD1:YEL</t>
  </si>
  <si>
    <t>IMW:DBL:HEAD0:GRN</t>
  </si>
  <si>
    <t>IMW:DBL:HEAD0:RED</t>
  </si>
  <si>
    <t>IMW:DBL:HEAD0:YEL</t>
  </si>
  <si>
    <t>IMW:DWF:HEAD0:GRN</t>
  </si>
  <si>
    <t>IMW:DWF:HEAD0:RED</t>
  </si>
  <si>
    <t>IMW:DWF:HEAD0:YEL</t>
  </si>
  <si>
    <t>IMW:B-G</t>
  </si>
  <si>
    <t>IMW:B-Y</t>
  </si>
  <si>
    <t>IMW:B-R</t>
  </si>
  <si>
    <t>IMW:T-G</t>
  </si>
  <si>
    <t>IMW:T-Y</t>
  </si>
  <si>
    <t>IMW:T-R</t>
  </si>
  <si>
    <t>IME:DBL:HEAD1:GRN</t>
  </si>
  <si>
    <t>IME:DBL:HEAD1:RED</t>
  </si>
  <si>
    <t>IME:DBL:HEAD1:YEL</t>
  </si>
  <si>
    <t>IME:DBL:HEAD0:GRN</t>
  </si>
  <si>
    <t>IME:DBL:HEAD0:RED</t>
  </si>
  <si>
    <t>IME:DBL:HEAD0:YEL</t>
  </si>
  <si>
    <t>IME:DWF:HEAD0:GRN</t>
  </si>
  <si>
    <t>IME:DWF:HEAD0:RED</t>
  </si>
  <si>
    <t>IME:DWF:HEAD0:YEL</t>
  </si>
  <si>
    <t>IME:B-G</t>
  </si>
  <si>
    <t>IME:B-Y</t>
  </si>
  <si>
    <t>IME:B-R</t>
  </si>
  <si>
    <t>IME:T-G</t>
  </si>
  <si>
    <t>IME:T-Y</t>
  </si>
  <si>
    <t>IME:T-R</t>
  </si>
  <si>
    <t>Object Identifier</t>
  </si>
  <si>
    <t>Action</t>
  </si>
  <si>
    <t>Normal</t>
  </si>
  <si>
    <t>Reverse</t>
  </si>
  <si>
    <t>JMRI State Nomenclature</t>
  </si>
  <si>
    <t>JMRI Active State</t>
  </si>
  <si>
    <t>Close</t>
  </si>
  <si>
    <t>Throw</t>
  </si>
  <si>
    <t>Select Route Request</t>
  </si>
  <si>
    <t>Route Unselected Report</t>
  </si>
  <si>
    <t>Occupied Report</t>
  </si>
  <si>
    <t>Unoccupied Report</t>
  </si>
  <si>
    <t>Turnout Locked Report</t>
  </si>
  <si>
    <t>Turnout Unlocked Report</t>
  </si>
  <si>
    <t>Turnout Locked Light On</t>
  </si>
  <si>
    <t>Turnout Unlocked Light On</t>
  </si>
  <si>
    <t>TO_RSR</t>
  </si>
  <si>
    <t>AM1_TO_RSR</t>
  </si>
  <si>
    <t>AM4_TO_RSR</t>
  </si>
  <si>
    <t>TO_SRC</t>
  </si>
  <si>
    <t>TO_TULO</t>
  </si>
  <si>
    <t>AM4_TO_TULO</t>
  </si>
  <si>
    <t>AM2_TO_TULO</t>
  </si>
  <si>
    <t>AN1_TO_TULO</t>
  </si>
  <si>
    <t>AM5_TO_TULO</t>
  </si>
  <si>
    <t>AM4_TO_SRC</t>
  </si>
  <si>
    <t>AM2_TO_SRC</t>
  </si>
  <si>
    <t>AM1_TO_SRC</t>
  </si>
  <si>
    <t>AM5_TO_SRC</t>
  </si>
  <si>
    <t>AM5_TO_RSR</t>
  </si>
  <si>
    <t>AM2_TO_RSR</t>
  </si>
  <si>
    <t>AM5_TO_RUR</t>
  </si>
  <si>
    <t>TO_RUR</t>
  </si>
  <si>
    <t>AM1_TO_RUR</t>
  </si>
  <si>
    <t>AM4_TO_RUR</t>
  </si>
  <si>
    <t>AM2_TO_RUR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</si>
</sst>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20"/>
      <color theme="1"/>
      <name val="Calibri"/>
      <family val="2"/>
      <scheme val="minor"/>
    </font>
    <font>
      <b/>
      <sz val="11"/>
      <name val="Calibri"/>
      <family val="2"/>
      <scheme val="minor"/>
    </font>
    <font>
      <sz val="20"/>
      <color theme="1"/>
      <name val="Calibri"/>
      <family val="2"/>
      <scheme val="minor"/>
    </font>
    <font>
      <sz val="8"/>
      <name val="Calibri"/>
      <family val="2"/>
      <scheme val="minor"/>
    </font>
    <font>
      <b/>
      <sz val="18"/>
      <color theme="1"/>
      <name val="Calibri"/>
      <family val="2"/>
      <scheme val="minor"/>
    </font>
    <font>
      <sz val="11"/>
      <color rgb="FF000000"/>
      <name val="Calibri"/>
      <family val="2"/>
      <scheme val="minor"/>
    </font>
    <font>
      <b/>
      <sz val="11"/>
      <color rgb="FF000000"/>
      <name val="Calibri"/>
      <family val="2"/>
      <scheme val="minor"/>
    </font>
    <font>
      <b/>
      <sz val="11"/>
      <color theme="0"/>
      <name val="Calibri"/>
      <family val="2"/>
      <scheme val="minor"/>
    </font>
    <font>
      <b/>
      <sz val="12"/>
      <color theme="0"/>
      <name val="Calibri"/>
      <family val="2"/>
      <scheme val="minor"/>
    </font>
    <font>
      <b/>
      <sz val="18"/>
      <color theme="0"/>
      <name val="Calibri"/>
      <family val="2"/>
      <scheme val="minor"/>
    </font>
    <font>
      <b/>
      <sz val="11"/>
      <color rgb="FFFFFF00"/>
      <name val="Calibri"/>
      <family val="2"/>
      <scheme val="minor"/>
    </font>
    <font>
      <b/>
      <sz val="20"/>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
      <patternFill patternType="solid">
        <fgColor theme="3" tint="-0.249977111117893"/>
        <bgColor indexed="64"/>
      </patternFill>
    </fill>
    <fill>
      <patternFill patternType="solid">
        <fgColor rgb="FFFF0000"/>
        <bgColor indexed="64"/>
      </patternFill>
    </fill>
    <fill>
      <patternFill patternType="solid">
        <fgColor theme="1"/>
        <bgColor indexed="64"/>
      </patternFill>
    </fill>
    <fill>
      <patternFill patternType="solid">
        <fgColor rgb="FFFFFF00"/>
        <bgColor rgb="FF000000"/>
      </patternFill>
    </fill>
  </fills>
  <borders count="7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style="thin">
        <color auto="1"/>
      </left>
      <right style="medium">
        <color auto="1"/>
      </right>
      <top/>
      <bottom style="thin">
        <color auto="1"/>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right style="medium">
        <color auto="1"/>
      </right>
      <top/>
      <bottom/>
      <diagonal/>
    </border>
    <border>
      <left style="thin">
        <color auto="1"/>
      </left>
      <right style="thin">
        <color auto="1"/>
      </right>
      <top style="medium">
        <color auto="1"/>
      </top>
      <bottom/>
      <diagonal/>
    </border>
    <border>
      <left/>
      <right style="medium">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indexed="64"/>
      </left>
      <right/>
      <top style="medium">
        <color indexed="64"/>
      </top>
      <bottom/>
      <diagonal/>
    </border>
    <border>
      <left style="thin">
        <color auto="1"/>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thin">
        <color auto="1"/>
      </right>
      <top/>
      <bottom style="medium">
        <color auto="1"/>
      </bottom>
      <diagonal/>
    </border>
    <border>
      <left style="thin">
        <color auto="1"/>
      </left>
      <right/>
      <top style="thin">
        <color auto="1"/>
      </top>
      <bottom/>
      <diagonal/>
    </border>
    <border>
      <left/>
      <right style="thin">
        <color auto="1"/>
      </right>
      <top/>
      <bottom/>
      <diagonal/>
    </border>
    <border>
      <left style="thin">
        <color auto="1"/>
      </left>
      <right/>
      <top/>
      <bottom style="thin">
        <color auto="1"/>
      </bottom>
      <diagonal/>
    </border>
    <border>
      <left style="medium">
        <color indexed="64"/>
      </left>
      <right style="medium">
        <color indexed="64"/>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medium">
        <color indexed="64"/>
      </left>
      <right style="medium">
        <color indexed="64"/>
      </right>
      <top/>
      <bottom/>
      <diagonal/>
    </border>
    <border>
      <left/>
      <right style="medium">
        <color auto="1"/>
      </right>
      <top/>
      <bottom style="thin">
        <color auto="1"/>
      </bottom>
      <diagonal/>
    </border>
    <border>
      <left/>
      <right style="medium">
        <color indexed="64"/>
      </right>
      <top style="thin">
        <color indexed="64"/>
      </top>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9">
    <xf numFmtId="0" fontId="0" fillId="0" borderId="0" xfId="0"/>
    <xf numFmtId="0" fontId="1" fillId="0" borderId="0" xfId="0" applyFont="1"/>
    <xf numFmtId="0" fontId="1" fillId="0" borderId="0" xfId="0" applyFont="1" applyAlignment="1">
      <alignment wrapText="1"/>
    </xf>
    <xf numFmtId="0" fontId="1" fillId="0" borderId="28" xfId="0" applyFont="1" applyBorder="1"/>
    <xf numFmtId="0" fontId="1" fillId="0" borderId="16" xfId="0" applyFont="1" applyBorder="1"/>
    <xf numFmtId="0" fontId="1" fillId="0" borderId="3" xfId="0"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vertical="center"/>
    </xf>
    <xf numFmtId="0" fontId="1" fillId="0" borderId="35" xfId="0" applyFont="1" applyBorder="1" applyAlignment="1">
      <alignment horizont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6" fillId="3" borderId="3"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5" xfId="0" applyFont="1" applyFill="1" applyBorder="1" applyAlignment="1">
      <alignment horizontal="center"/>
    </xf>
    <xf numFmtId="0" fontId="6" fillId="3" borderId="35" xfId="0" applyFont="1" applyFill="1" applyBorder="1" applyAlignment="1">
      <alignment horizontal="center"/>
    </xf>
    <xf numFmtId="0" fontId="0" fillId="0" borderId="0" xfId="0" applyAlignment="1">
      <alignment horizontal="center" vertical="center"/>
    </xf>
    <xf numFmtId="0" fontId="7" fillId="0" borderId="0" xfId="0" applyFont="1"/>
    <xf numFmtId="0" fontId="1" fillId="2" borderId="4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0" borderId="31" xfId="0" applyFont="1" applyBorder="1" applyAlignment="1">
      <alignment horizontal="center" vertical="center" wrapText="1"/>
    </xf>
    <xf numFmtId="0" fontId="1" fillId="0" borderId="3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4" fillId="0" borderId="0" xfId="0" applyFont="1" applyAlignment="1">
      <alignment horizontal="center" vertical="center"/>
    </xf>
    <xf numFmtId="0" fontId="0" fillId="0" borderId="6" xfId="0" applyBorder="1" applyAlignment="1">
      <alignment horizontal="center" vertical="center"/>
    </xf>
    <xf numFmtId="0" fontId="0" fillId="0" borderId="35"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34" xfId="0" applyBorder="1" applyAlignment="1">
      <alignment horizontal="center" vertical="center"/>
    </xf>
    <xf numFmtId="0" fontId="0" fillId="0" borderId="46" xfId="0" applyBorder="1" applyAlignment="1">
      <alignment horizontal="center" vertical="center"/>
    </xf>
    <xf numFmtId="0" fontId="0" fillId="0" borderId="0" xfId="0" applyAlignment="1">
      <alignment vertical="center"/>
    </xf>
    <xf numFmtId="0" fontId="0" fillId="0" borderId="3" xfId="0" applyBorder="1" applyAlignment="1">
      <alignment horizontal="center" vertical="center"/>
    </xf>
    <xf numFmtId="0" fontId="0" fillId="0" borderId="5" xfId="0" applyBorder="1" applyAlignment="1">
      <alignment horizontal="center" vertical="center"/>
    </xf>
    <xf numFmtId="0" fontId="4" fillId="2" borderId="45" xfId="0" applyFont="1" applyFill="1" applyBorder="1" applyAlignment="1">
      <alignment horizontal="center" vertical="center" wrapText="1"/>
    </xf>
    <xf numFmtId="0" fontId="0" fillId="0" borderId="13" xfId="0" applyBorder="1" applyAlignment="1">
      <alignment horizontal="center" vertical="center"/>
    </xf>
    <xf numFmtId="1" fontId="0" fillId="0" borderId="0" xfId="0" applyNumberFormat="1" applyAlignment="1">
      <alignment horizontal="center" vertical="center"/>
    </xf>
    <xf numFmtId="1" fontId="0" fillId="0" borderId="13" xfId="0" applyNumberFormat="1" applyBorder="1" applyAlignment="1">
      <alignment horizontal="center" vertical="center"/>
    </xf>
    <xf numFmtId="0" fontId="0" fillId="0" borderId="57" xfId="0" applyBorder="1" applyAlignment="1">
      <alignment horizontal="center" vertical="center"/>
    </xf>
    <xf numFmtId="1" fontId="0" fillId="0" borderId="15" xfId="0" applyNumberFormat="1" applyBorder="1" applyAlignment="1">
      <alignment horizontal="center" vertical="center"/>
    </xf>
    <xf numFmtId="0" fontId="0" fillId="0" borderId="1" xfId="0" applyBorder="1" applyAlignment="1" applyProtection="1">
      <alignment horizontal="center" vertical="center"/>
      <protection locked="0"/>
    </xf>
    <xf numFmtId="0" fontId="0" fillId="0" borderId="62" xfId="0" applyBorder="1" applyAlignment="1">
      <alignment horizontal="center" vertical="center"/>
    </xf>
    <xf numFmtId="0" fontId="0" fillId="0" borderId="10" xfId="0" applyBorder="1" applyAlignment="1">
      <alignment horizontal="center" vertical="center"/>
    </xf>
    <xf numFmtId="0" fontId="1" fillId="0" borderId="36" xfId="0" applyFont="1" applyBorder="1" applyAlignment="1">
      <alignment horizontal="center"/>
    </xf>
    <xf numFmtId="0" fontId="0" fillId="0" borderId="64" xfId="0" applyBorder="1" applyAlignment="1">
      <alignment horizontal="center" vertical="center"/>
    </xf>
    <xf numFmtId="0" fontId="0" fillId="0" borderId="56" xfId="0" applyBorder="1" applyAlignment="1">
      <alignment horizontal="center" vertical="center"/>
    </xf>
    <xf numFmtId="1" fontId="0" fillId="0" borderId="1" xfId="0" applyNumberFormat="1" applyBorder="1" applyAlignment="1">
      <alignment horizontal="center" vertical="center"/>
    </xf>
    <xf numFmtId="0" fontId="4" fillId="0" borderId="33" xfId="0" applyFont="1" applyBorder="1" applyAlignment="1">
      <alignment horizontal="center" vertical="center"/>
    </xf>
    <xf numFmtId="1" fontId="4" fillId="4" borderId="35" xfId="0" applyNumberFormat="1" applyFont="1" applyFill="1" applyBorder="1" applyAlignment="1">
      <alignment horizontal="center" vertical="center" wrapText="1"/>
    </xf>
    <xf numFmtId="0" fontId="4" fillId="4" borderId="35"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4" fillId="4" borderId="61" xfId="0" applyFont="1" applyFill="1" applyBorder="1" applyAlignment="1">
      <alignment horizontal="center" vertical="center" wrapText="1"/>
    </xf>
    <xf numFmtId="1" fontId="0" fillId="0" borderId="34" xfId="0" applyNumberFormat="1" applyBorder="1" applyAlignment="1">
      <alignment horizontal="center" vertical="center"/>
    </xf>
    <xf numFmtId="1" fontId="4" fillId="5" borderId="14" xfId="0" applyNumberFormat="1" applyFont="1" applyFill="1" applyBorder="1" applyAlignment="1">
      <alignment horizontal="center" vertical="center" wrapText="1"/>
    </xf>
    <xf numFmtId="0" fontId="0" fillId="0" borderId="63" xfId="0" applyBorder="1" applyAlignment="1">
      <alignment horizontal="center" vertical="center"/>
    </xf>
    <xf numFmtId="0" fontId="0" fillId="0" borderId="41" xfId="0" applyBorder="1" applyAlignment="1">
      <alignment horizontal="center" vertical="center"/>
    </xf>
    <xf numFmtId="0" fontId="0" fillId="0" borderId="49" xfId="0" applyBorder="1"/>
    <xf numFmtId="0" fontId="1" fillId="3" borderId="3" xfId="0" applyFont="1" applyFill="1" applyBorder="1" applyAlignment="1">
      <alignment horizontal="center" vertical="center"/>
    </xf>
    <xf numFmtId="0" fontId="4" fillId="3" borderId="4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right" vertical="center" wrapText="1"/>
    </xf>
    <xf numFmtId="0" fontId="1" fillId="0" borderId="1" xfId="0" applyFont="1" applyBorder="1" applyAlignment="1">
      <alignment horizontal="right" vertical="center" wrapText="1"/>
    </xf>
    <xf numFmtId="0" fontId="1" fillId="0" borderId="5" xfId="0" applyFont="1" applyBorder="1" applyAlignment="1">
      <alignment horizontal="right" vertical="center" wrapText="1"/>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40" xfId="0" applyFont="1" applyFill="1" applyBorder="1" applyAlignment="1">
      <alignment horizontal="center" vertical="center"/>
    </xf>
    <xf numFmtId="0" fontId="4" fillId="0" borderId="3" xfId="0" applyFont="1" applyBorder="1" applyAlignment="1">
      <alignment horizontal="right" vertical="center"/>
    </xf>
    <xf numFmtId="0" fontId="1" fillId="0" borderId="65" xfId="0" applyFont="1" applyBorder="1" applyAlignment="1">
      <alignment horizontal="left" vertical="center"/>
    </xf>
    <xf numFmtId="0" fontId="0" fillId="0" borderId="2" xfId="0" applyBorder="1" applyAlignment="1">
      <alignment horizontal="center" vertical="center"/>
    </xf>
    <xf numFmtId="0" fontId="0" fillId="0" borderId="20" xfId="0" applyBorder="1" applyAlignment="1">
      <alignment horizontal="center" vertical="center"/>
    </xf>
    <xf numFmtId="0" fontId="0" fillId="0" borderId="7"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0" fontId="0" fillId="0" borderId="22" xfId="0" applyBorder="1" applyAlignment="1">
      <alignment horizontal="center" vertical="center"/>
    </xf>
    <xf numFmtId="0" fontId="1" fillId="0" borderId="50" xfId="0" applyFont="1" applyBorder="1" applyAlignment="1">
      <alignment horizontal="center" vertical="center" wrapText="1"/>
    </xf>
    <xf numFmtId="0" fontId="1" fillId="0" borderId="57"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0" fillId="0" borderId="68" xfId="0" applyBorder="1" applyAlignment="1">
      <alignment horizontal="center" vertical="center"/>
    </xf>
    <xf numFmtId="0" fontId="1" fillId="0" borderId="65" xfId="0" applyFont="1" applyBorder="1" applyAlignment="1">
      <alignment horizontal="left"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3" xfId="0" applyFont="1" applyBorder="1" applyAlignment="1">
      <alignment horizontal="center" vertical="center"/>
    </xf>
    <xf numFmtId="0" fontId="1" fillId="0" borderId="13" xfId="0" applyFont="1" applyBorder="1" applyAlignment="1">
      <alignment horizontal="center" vertical="center" wrapText="1"/>
    </xf>
    <xf numFmtId="0" fontId="1" fillId="0" borderId="12" xfId="0" applyFont="1" applyBorder="1" applyAlignment="1">
      <alignment horizontal="right"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4" xfId="0" applyFont="1" applyBorder="1" applyAlignment="1">
      <alignment vertical="center"/>
    </xf>
    <xf numFmtId="0" fontId="1" fillId="0" borderId="24" xfId="0" applyFont="1" applyBorder="1" applyAlignment="1">
      <alignment horizontal="center" vertical="center"/>
    </xf>
    <xf numFmtId="0" fontId="4" fillId="0" borderId="2" xfId="0" applyFont="1" applyBorder="1" applyAlignment="1">
      <alignment horizontal="center" vertical="center"/>
    </xf>
    <xf numFmtId="0" fontId="1" fillId="0" borderId="5" xfId="0" applyFont="1" applyBorder="1" applyAlignment="1">
      <alignment wrapText="1"/>
    </xf>
    <xf numFmtId="0" fontId="1" fillId="0" borderId="5" xfId="0" applyFont="1" applyBorder="1" applyAlignment="1">
      <alignment horizontal="right"/>
    </xf>
    <xf numFmtId="0" fontId="1" fillId="0" borderId="22" xfId="0" applyFont="1" applyBorder="1" applyAlignment="1">
      <alignment wrapText="1"/>
    </xf>
    <xf numFmtId="0" fontId="1" fillId="0" borderId="6" xfId="0" applyFont="1" applyBorder="1" applyAlignment="1">
      <alignment horizontal="right" vertical="center" wrapText="1"/>
    </xf>
    <xf numFmtId="0" fontId="1" fillId="0" borderId="35"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4" xfId="0" applyFont="1" applyBorder="1" applyAlignment="1">
      <alignment horizontal="right" vertical="center"/>
    </xf>
    <xf numFmtId="0" fontId="4" fillId="0" borderId="28" xfId="0" applyFont="1" applyBorder="1" applyAlignment="1">
      <alignment horizontal="center" vertical="center"/>
    </xf>
    <xf numFmtId="0" fontId="4" fillId="3" borderId="50" xfId="0" applyFont="1" applyFill="1" applyBorder="1" applyAlignment="1">
      <alignment horizontal="center" vertical="center"/>
    </xf>
    <xf numFmtId="0" fontId="10" fillId="0" borderId="1" xfId="0" applyFont="1" applyBorder="1" applyAlignment="1">
      <alignment horizontal="center" vertical="center"/>
    </xf>
    <xf numFmtId="0" fontId="10" fillId="0" borderId="7"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0" fillId="0" borderId="21" xfId="0" applyBorder="1" applyAlignment="1">
      <alignment horizontal="center"/>
    </xf>
    <xf numFmtId="0" fontId="0" fillId="0" borderId="7" xfId="0" applyBorder="1"/>
    <xf numFmtId="0" fontId="0" fillId="0" borderId="4" xfId="0" applyBorder="1"/>
    <xf numFmtId="0" fontId="0" fillId="0" borderId="22" xfId="0" applyBorder="1" applyAlignment="1">
      <alignment horizontal="center"/>
    </xf>
    <xf numFmtId="0" fontId="0" fillId="0" borderId="6" xfId="0" applyBorder="1"/>
    <xf numFmtId="0" fontId="0" fillId="0" borderId="24" xfId="0" applyBorder="1" applyAlignment="1">
      <alignment horizont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 fillId="0" borderId="22" xfId="0" applyFont="1" applyBorder="1" applyAlignment="1">
      <alignment horizontal="center"/>
    </xf>
    <xf numFmtId="0" fontId="4" fillId="2" borderId="40" xfId="0" applyFont="1" applyFill="1" applyBorder="1" applyAlignment="1">
      <alignment horizontal="center" vertical="center"/>
    </xf>
    <xf numFmtId="0" fontId="0" fillId="0" borderId="11" xfId="0" applyBorder="1" applyAlignment="1">
      <alignment horizontal="center" vertical="center"/>
    </xf>
    <xf numFmtId="0" fontId="1" fillId="2" borderId="36"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9" xfId="0" applyFont="1" applyFill="1" applyBorder="1" applyAlignment="1">
      <alignment horizontal="center" vertical="center"/>
    </xf>
    <xf numFmtId="0" fontId="0" fillId="0" borderId="21" xfId="0" applyBorder="1" applyAlignment="1">
      <alignment vertical="center"/>
    </xf>
    <xf numFmtId="0" fontId="0" fillId="0" borderId="22" xfId="0" applyBorder="1" applyAlignment="1">
      <alignment vertical="center"/>
    </xf>
    <xf numFmtId="0" fontId="1" fillId="2" borderId="37"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20" xfId="0" applyBorder="1" applyAlignment="1">
      <alignment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42" xfId="0" applyFont="1" applyBorder="1" applyAlignment="1">
      <alignment horizontal="center" vertical="center"/>
    </xf>
    <xf numFmtId="0" fontId="0" fillId="0" borderId="9" xfId="0" applyBorder="1" applyAlignment="1">
      <alignment horizontal="center" vertical="center"/>
    </xf>
    <xf numFmtId="0" fontId="1" fillId="0" borderId="2" xfId="0" applyFont="1" applyBorder="1"/>
    <xf numFmtId="0" fontId="1" fillId="0" borderId="7" xfId="0" applyFont="1" applyBorder="1"/>
    <xf numFmtId="0" fontId="1" fillId="0" borderId="4" xfId="0" applyFont="1" applyBorder="1"/>
    <xf numFmtId="0" fontId="1" fillId="0" borderId="55" xfId="0" applyFont="1" applyBorder="1"/>
    <xf numFmtId="0" fontId="1" fillId="0" borderId="56" xfId="0" applyFont="1" applyBorder="1"/>
    <xf numFmtId="0" fontId="1" fillId="0" borderId="64" xfId="0" applyFont="1" applyBorder="1"/>
    <xf numFmtId="0" fontId="1" fillId="0" borderId="54" xfId="0" applyFont="1" applyBorder="1"/>
    <xf numFmtId="0" fontId="1" fillId="0" borderId="72" xfId="0" applyFont="1" applyBorder="1"/>
    <xf numFmtId="0" fontId="1" fillId="2" borderId="7" xfId="0" applyFont="1" applyFill="1" applyBorder="1" applyAlignment="1">
      <alignment horizontal="center" vertical="center"/>
    </xf>
    <xf numFmtId="0" fontId="0" fillId="2" borderId="9" xfId="0" applyFill="1" applyBorder="1" applyAlignment="1">
      <alignment horizontal="center" vertical="center"/>
    </xf>
    <xf numFmtId="0" fontId="12" fillId="5" borderId="37" xfId="0" applyFont="1" applyFill="1" applyBorder="1" applyAlignment="1">
      <alignment horizontal="center" vertical="center"/>
    </xf>
    <xf numFmtId="0" fontId="12" fillId="5" borderId="39" xfId="0" applyFont="1" applyFill="1" applyBorder="1" applyAlignment="1">
      <alignment horizontal="center" vertical="center"/>
    </xf>
    <xf numFmtId="0" fontId="12" fillId="5" borderId="58" xfId="0" applyFont="1" applyFill="1" applyBorder="1" applyAlignment="1">
      <alignment horizontal="center" vertical="center"/>
    </xf>
    <xf numFmtId="0" fontId="12" fillId="5" borderId="37" xfId="0" applyFont="1" applyFill="1" applyBorder="1" applyAlignment="1">
      <alignment horizontal="right" vertical="center"/>
    </xf>
    <xf numFmtId="0" fontId="12" fillId="5" borderId="39" xfId="0" applyFont="1" applyFill="1" applyBorder="1" applyAlignment="1">
      <alignment horizontal="center"/>
    </xf>
    <xf numFmtId="0" fontId="12" fillId="5" borderId="23" xfId="0" applyFont="1" applyFill="1" applyBorder="1" applyAlignment="1">
      <alignment horizontal="right" vertical="center"/>
    </xf>
    <xf numFmtId="0" fontId="12" fillId="5" borderId="17" xfId="0" applyFont="1" applyFill="1" applyBorder="1" applyAlignment="1">
      <alignment horizontal="center" vertical="center"/>
    </xf>
    <xf numFmtId="0" fontId="12" fillId="5" borderId="5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24" xfId="0" applyFont="1" applyFill="1" applyBorder="1" applyAlignment="1">
      <alignment horizontal="center" vertical="center"/>
    </xf>
    <xf numFmtId="0" fontId="12" fillId="5" borderId="70" xfId="0" applyFont="1" applyFill="1" applyBorder="1" applyAlignment="1">
      <alignment horizontal="center" vertical="center"/>
    </xf>
    <xf numFmtId="0" fontId="12" fillId="5" borderId="6"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21" xfId="0" applyFont="1" applyFill="1" applyBorder="1" applyAlignment="1">
      <alignment horizontal="center" vertical="center"/>
    </xf>
    <xf numFmtId="0" fontId="12" fillId="5" borderId="65" xfId="0" applyFont="1" applyFill="1" applyBorder="1" applyAlignment="1">
      <alignment horizontal="center" vertical="center"/>
    </xf>
    <xf numFmtId="0" fontId="12" fillId="5" borderId="7" xfId="0" applyFont="1" applyFill="1" applyBorder="1" applyAlignment="1">
      <alignment horizontal="center" vertical="center"/>
    </xf>
    <xf numFmtId="0" fontId="12" fillId="5" borderId="12" xfId="0" applyFont="1" applyFill="1" applyBorder="1" applyAlignment="1">
      <alignment horizontal="center" vertical="center"/>
    </xf>
    <xf numFmtId="0" fontId="12" fillId="5" borderId="22" xfId="0" applyFont="1" applyFill="1" applyBorder="1" applyAlignment="1">
      <alignment horizontal="center" vertical="center"/>
    </xf>
    <xf numFmtId="0" fontId="12" fillId="5" borderId="71" xfId="0" applyFont="1" applyFill="1" applyBorder="1" applyAlignment="1">
      <alignment horizontal="center" vertical="center"/>
    </xf>
    <xf numFmtId="0" fontId="12" fillId="5" borderId="8" xfId="0" applyFont="1" applyFill="1" applyBorder="1" applyAlignment="1">
      <alignment horizontal="center" vertical="center"/>
    </xf>
    <xf numFmtId="0" fontId="12" fillId="5" borderId="46" xfId="0" applyFont="1" applyFill="1" applyBorder="1" applyAlignment="1">
      <alignment horizontal="center" vertical="center"/>
    </xf>
    <xf numFmtId="0" fontId="13" fillId="5" borderId="27" xfId="0" applyFont="1" applyFill="1" applyBorder="1" applyAlignment="1">
      <alignment horizontal="center" vertical="center"/>
    </xf>
    <xf numFmtId="0" fontId="13" fillId="5" borderId="37" xfId="0" applyFont="1" applyFill="1" applyBorder="1" applyAlignment="1">
      <alignment horizontal="center" vertical="center"/>
    </xf>
    <xf numFmtId="0" fontId="13" fillId="5" borderId="39" xfId="0" applyFont="1" applyFill="1" applyBorder="1" applyAlignment="1">
      <alignment horizontal="center" vertical="center"/>
    </xf>
    <xf numFmtId="0" fontId="13" fillId="5" borderId="38" xfId="0" applyFont="1" applyFill="1" applyBorder="1" applyAlignment="1">
      <alignment horizontal="center" vertical="center"/>
    </xf>
    <xf numFmtId="0" fontId="13" fillId="5" borderId="47" xfId="0" applyFont="1" applyFill="1" applyBorder="1" applyAlignment="1">
      <alignment horizontal="center" vertical="center"/>
    </xf>
    <xf numFmtId="0" fontId="13" fillId="5" borderId="40"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5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20" xfId="0" applyFont="1" applyFill="1" applyBorder="1" applyAlignment="1">
      <alignment horizontal="center" vertical="center"/>
    </xf>
    <xf numFmtId="0" fontId="12" fillId="5" borderId="34" xfId="0" applyFont="1" applyFill="1" applyBorder="1" applyAlignment="1">
      <alignment horizontal="center" vertical="center"/>
    </xf>
    <xf numFmtId="0" fontId="12" fillId="5" borderId="59" xfId="0" applyFont="1" applyFill="1" applyBorder="1" applyAlignment="1">
      <alignment horizontal="center" vertical="center"/>
    </xf>
    <xf numFmtId="0" fontId="12" fillId="5" borderId="15" xfId="0" applyFont="1" applyFill="1" applyBorder="1" applyAlignment="1">
      <alignment horizontal="center" vertical="center"/>
    </xf>
    <xf numFmtId="0" fontId="0" fillId="2" borderId="6" xfId="0" applyFill="1" applyBorder="1" applyAlignment="1">
      <alignment horizontal="right" vertical="center"/>
    </xf>
    <xf numFmtId="0" fontId="0" fillId="2" borderId="24" xfId="0" applyFill="1" applyBorder="1" applyAlignment="1">
      <alignment horizontal="center" vertical="center"/>
    </xf>
    <xf numFmtId="0" fontId="0" fillId="2" borderId="7" xfId="0" applyFill="1" applyBorder="1" applyAlignment="1">
      <alignment horizontal="right" vertical="center"/>
    </xf>
    <xf numFmtId="0" fontId="0" fillId="2" borderId="21" xfId="0" applyFill="1" applyBorder="1" applyAlignment="1">
      <alignment horizontal="center" vertical="center"/>
    </xf>
    <xf numFmtId="0" fontId="0" fillId="2" borderId="7" xfId="0" applyFill="1" applyBorder="1" applyAlignment="1">
      <alignment horizontal="right"/>
    </xf>
    <xf numFmtId="0" fontId="0" fillId="2" borderId="21" xfId="0" applyFill="1" applyBorder="1" applyAlignment="1">
      <alignment horizontal="center"/>
    </xf>
    <xf numFmtId="0" fontId="0" fillId="2" borderId="8" xfId="0" applyFill="1" applyBorder="1" applyAlignment="1">
      <alignment horizontal="right" vertical="center"/>
    </xf>
    <xf numFmtId="0" fontId="0" fillId="2" borderId="46" xfId="0" applyFill="1" applyBorder="1" applyAlignment="1">
      <alignment horizontal="center" vertical="center"/>
    </xf>
    <xf numFmtId="0" fontId="1" fillId="3" borderId="42" xfId="0" applyFont="1" applyFill="1" applyBorder="1" applyAlignment="1">
      <alignment horizontal="center" vertical="center" wrapText="1"/>
    </xf>
    <xf numFmtId="0" fontId="1" fillId="0" borderId="33" xfId="0" applyFont="1" applyBorder="1" applyAlignment="1">
      <alignment horizontal="center" vertical="center"/>
    </xf>
    <xf numFmtId="0" fontId="1" fillId="0" borderId="30" xfId="0" applyFont="1" applyBorder="1" applyAlignment="1">
      <alignment horizontal="center" vertical="center"/>
    </xf>
    <xf numFmtId="0" fontId="0" fillId="0" borderId="30" xfId="0" applyBorder="1"/>
    <xf numFmtId="0" fontId="0" fillId="0" borderId="25" xfId="0" applyBorder="1"/>
    <xf numFmtId="0" fontId="0" fillId="0" borderId="33" xfId="0" applyBorder="1" applyAlignment="1">
      <alignment horizontal="center" vertical="center"/>
    </xf>
    <xf numFmtId="0" fontId="0" fillId="0" borderId="25" xfId="0"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30" xfId="0"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0" fontId="0" fillId="2" borderId="35" xfId="0" applyFill="1" applyBorder="1" applyAlignment="1">
      <alignment horizontal="center" vertical="center"/>
    </xf>
    <xf numFmtId="0" fontId="0" fillId="2" borderId="21" xfId="0" quotePrefix="1" applyFill="1" applyBorder="1" applyAlignment="1">
      <alignment horizontal="center"/>
    </xf>
    <xf numFmtId="0" fontId="0" fillId="2" borderId="1" xfId="0" applyFill="1" applyBorder="1" applyAlignment="1">
      <alignment horizontal="center" vertical="center"/>
    </xf>
    <xf numFmtId="0" fontId="0" fillId="2" borderId="22" xfId="0" quotePrefix="1" applyFill="1" applyBorder="1" applyAlignment="1">
      <alignment horizontal="center"/>
    </xf>
    <xf numFmtId="0" fontId="0" fillId="0" borderId="25" xfId="0" applyBorder="1" applyAlignment="1">
      <alignment horizontal="left" vertical="center"/>
    </xf>
    <xf numFmtId="0" fontId="10" fillId="2" borderId="21" xfId="0" applyFont="1" applyFill="1" applyBorder="1" applyAlignment="1">
      <alignment horizontal="center" vertical="center"/>
    </xf>
    <xf numFmtId="0" fontId="10" fillId="2" borderId="22" xfId="0" applyFont="1" applyFill="1" applyBorder="1" applyAlignment="1">
      <alignment horizontal="center" vertical="center"/>
    </xf>
    <xf numFmtId="0" fontId="15" fillId="8" borderId="7" xfId="0" applyFont="1" applyFill="1" applyBorder="1" applyAlignment="1">
      <alignment horizontal="right" vertical="center" wrapText="1"/>
    </xf>
    <xf numFmtId="0" fontId="15" fillId="8" borderId="1" xfId="0" applyFont="1" applyFill="1" applyBorder="1" applyAlignment="1">
      <alignment horizontal="center" vertical="center" wrapText="1"/>
    </xf>
    <xf numFmtId="0" fontId="15" fillId="8" borderId="1" xfId="0" applyFont="1" applyFill="1" applyBorder="1" applyAlignment="1">
      <alignment horizontal="right" vertical="center"/>
    </xf>
    <xf numFmtId="0" fontId="15" fillId="8" borderId="1" xfId="0" applyFont="1" applyFill="1" applyBorder="1" applyAlignment="1">
      <alignment horizontal="center" vertical="center"/>
    </xf>
    <xf numFmtId="0" fontId="15" fillId="8" borderId="1" xfId="0" applyFont="1" applyFill="1" applyBorder="1" applyAlignment="1">
      <alignment horizontal="right" vertical="center" wrapText="1"/>
    </xf>
    <xf numFmtId="0" fontId="15" fillId="8" borderId="3" xfId="0" applyFont="1" applyFill="1" applyBorder="1" applyAlignment="1">
      <alignment vertical="center"/>
    </xf>
    <xf numFmtId="0" fontId="15" fillId="8" borderId="1" xfId="0" applyFont="1" applyFill="1" applyBorder="1" applyAlignment="1">
      <alignment vertical="center"/>
    </xf>
    <xf numFmtId="0" fontId="15" fillId="8" borderId="21" xfId="0" applyFont="1" applyFill="1" applyBorder="1" applyAlignment="1">
      <alignment vertical="center"/>
    </xf>
    <xf numFmtId="0" fontId="6" fillId="2" borderId="20" xfId="0" applyFont="1" applyFill="1" applyBorder="1" applyAlignment="1">
      <alignment horizontal="left"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 xfId="0" applyFont="1" applyFill="1" applyBorder="1" applyAlignment="1">
      <alignment horizontal="center"/>
    </xf>
    <xf numFmtId="0" fontId="1" fillId="2" borderId="1" xfId="0" applyFont="1" applyFill="1" applyBorder="1" applyAlignment="1">
      <alignment horizontal="center"/>
    </xf>
    <xf numFmtId="0" fontId="12" fillId="5" borderId="18" xfId="0" applyFont="1" applyFill="1" applyBorder="1" applyAlignment="1">
      <alignment horizontal="center" vertical="center"/>
    </xf>
    <xf numFmtId="0" fontId="12" fillId="5" borderId="49" xfId="0" applyFont="1" applyFill="1" applyBorder="1" applyAlignment="1">
      <alignment horizontal="center" vertical="center"/>
    </xf>
    <xf numFmtId="0" fontId="1" fillId="0" borderId="3"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41" xfId="0" applyBorder="1" applyAlignment="1">
      <alignment horizontal="center"/>
    </xf>
    <xf numFmtId="0" fontId="1" fillId="0" borderId="34" xfId="0" applyFont="1" applyBorder="1" applyAlignment="1">
      <alignment horizontal="center" vertical="center"/>
    </xf>
    <xf numFmtId="0" fontId="1" fillId="0" borderId="37" xfId="0" applyFont="1" applyBorder="1" applyAlignment="1">
      <alignment horizontal="right" vertical="center"/>
    </xf>
    <xf numFmtId="0" fontId="1" fillId="0" borderId="38" xfId="0" applyFont="1" applyBorder="1" applyAlignment="1">
      <alignment horizontal="center"/>
    </xf>
    <xf numFmtId="0" fontId="1" fillId="0" borderId="51" xfId="0" applyFont="1" applyBorder="1" applyAlignment="1">
      <alignment horizontal="center" vertical="center"/>
    </xf>
    <xf numFmtId="0" fontId="1" fillId="0" borderId="61" xfId="0" applyFont="1" applyBorder="1" applyAlignment="1">
      <alignment horizontal="center" vertical="center"/>
    </xf>
    <xf numFmtId="0" fontId="1" fillId="0" borderId="57" xfId="0" applyFont="1" applyBorder="1" applyAlignment="1">
      <alignment horizontal="center" vertical="center"/>
    </xf>
    <xf numFmtId="0" fontId="1" fillId="0" borderId="59" xfId="0" applyFont="1" applyBorder="1" applyAlignment="1">
      <alignment horizontal="center" vertical="center"/>
    </xf>
    <xf numFmtId="0" fontId="1" fillId="0" borderId="47" xfId="0" applyFont="1" applyBorder="1" applyAlignment="1">
      <alignment horizontal="center"/>
    </xf>
    <xf numFmtId="0" fontId="1" fillId="0" borderId="36" xfId="0" applyFont="1" applyBorder="1" applyAlignment="1">
      <alignment horizontal="center" vertical="center"/>
    </xf>
    <xf numFmtId="0" fontId="1" fillId="0" borderId="63" xfId="0" applyFont="1" applyBorder="1" applyAlignment="1">
      <alignment horizontal="center" vertical="center"/>
    </xf>
    <xf numFmtId="0" fontId="1" fillId="0" borderId="62" xfId="0" applyFont="1" applyBorder="1" applyAlignment="1">
      <alignment horizontal="center" vertical="center"/>
    </xf>
    <xf numFmtId="0" fontId="1" fillId="0" borderId="73" xfId="0" applyFont="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0" xfId="0" applyFont="1" applyAlignment="1">
      <alignment horizontal="center"/>
    </xf>
    <xf numFmtId="0" fontId="17" fillId="0" borderId="0" xfId="0" applyFont="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4" fillId="2" borderId="34" xfId="0" applyFont="1" applyFill="1" applyBorder="1" applyAlignment="1">
      <alignment horizontal="center" vertical="center"/>
    </xf>
    <xf numFmtId="0" fontId="1" fillId="0" borderId="34" xfId="0" applyFont="1" applyBorder="1" applyAlignment="1">
      <alignment horizontal="right" vertical="center" wrapText="1"/>
    </xf>
    <xf numFmtId="0" fontId="1" fillId="0" borderId="5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15" xfId="0" applyFont="1" applyBorder="1" applyAlignment="1">
      <alignment horizontal="right" vertical="center"/>
    </xf>
    <xf numFmtId="0" fontId="1" fillId="0" borderId="46" xfId="0" applyFont="1" applyBorder="1" applyAlignment="1">
      <alignment horizontal="left" vertical="center" wrapText="1"/>
    </xf>
    <xf numFmtId="0" fontId="1" fillId="0" borderId="0" xfId="0" applyFont="1" applyAlignment="1"/>
    <xf numFmtId="0" fontId="1" fillId="0" borderId="14" xfId="0" applyFont="1" applyBorder="1" applyAlignment="1">
      <alignment horizontal="center" vertical="center"/>
    </xf>
    <xf numFmtId="0" fontId="1" fillId="0" borderId="12" xfId="0" applyFont="1" applyBorder="1" applyAlignment="1">
      <alignment wrapText="1"/>
    </xf>
    <xf numFmtId="0" fontId="1" fillId="0" borderId="0" xfId="0" applyFont="1" applyBorder="1" applyAlignment="1">
      <alignment horizontal="right" vertical="center"/>
    </xf>
    <xf numFmtId="0" fontId="4" fillId="2" borderId="5" xfId="0" applyFont="1" applyFill="1" applyBorder="1" applyAlignment="1">
      <alignment horizontal="center" vertical="center"/>
    </xf>
    <xf numFmtId="0" fontId="1" fillId="0" borderId="0" xfId="0" applyFont="1" applyBorder="1"/>
    <xf numFmtId="0" fontId="6" fillId="9" borderId="20" xfId="0" applyFont="1" applyFill="1" applyBorder="1" applyAlignment="1">
      <alignment horizontal="left" vertical="center"/>
    </xf>
    <xf numFmtId="0" fontId="6" fillId="9" borderId="24" xfId="0" applyFont="1" applyFill="1" applyBorder="1" applyAlignment="1">
      <alignment horizontal="left" vertical="center"/>
    </xf>
    <xf numFmtId="0" fontId="15" fillId="8" borderId="35" xfId="0" applyFont="1" applyFill="1" applyBorder="1" applyAlignment="1">
      <alignment vertical="center"/>
    </xf>
    <xf numFmtId="0" fontId="15" fillId="8" borderId="24" xfId="0" applyFont="1" applyFill="1" applyBorder="1" applyAlignment="1">
      <alignment vertical="center"/>
    </xf>
    <xf numFmtId="0" fontId="1" fillId="0" borderId="0" xfId="0" applyFont="1" applyBorder="1" applyAlignment="1">
      <alignment wrapText="1"/>
    </xf>
    <xf numFmtId="0" fontId="1" fillId="0" borderId="25" xfId="0" applyFont="1" applyBorder="1" applyAlignment="1">
      <alignment horizontal="right" vertical="center"/>
    </xf>
    <xf numFmtId="0" fontId="1" fillId="0" borderId="23" xfId="0" applyFont="1" applyBorder="1"/>
    <xf numFmtId="0" fontId="1" fillId="0" borderId="30" xfId="0" applyFont="1" applyBorder="1" applyAlignment="1">
      <alignment horizontal="left" vertical="center"/>
    </xf>
    <xf numFmtId="0" fontId="1" fillId="0" borderId="32" xfId="0" applyFont="1" applyBorder="1" applyAlignment="1">
      <alignment horizontal="left"/>
    </xf>
    <xf numFmtId="0" fontId="1" fillId="0" borderId="30" xfId="0" applyFont="1" applyBorder="1" applyAlignment="1">
      <alignment horizontal="left"/>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2" borderId="20" xfId="0" applyFont="1" applyFill="1" applyBorder="1" applyAlignment="1">
      <alignment horizontal="center" vertical="center"/>
    </xf>
    <xf numFmtId="0" fontId="0" fillId="0" borderId="7" xfId="0" applyBorder="1" applyAlignment="1">
      <alignment horizontal="center"/>
    </xf>
    <xf numFmtId="0" fontId="0" fillId="0" borderId="1" xfId="0" applyBorder="1" applyAlignment="1">
      <alignment horizontal="center"/>
    </xf>
    <xf numFmtId="0" fontId="10" fillId="0" borderId="57" xfId="0" applyFont="1" applyBorder="1" applyAlignment="1">
      <alignment horizontal="center" vertical="center"/>
    </xf>
    <xf numFmtId="0" fontId="0" fillId="0" borderId="57" xfId="0" applyBorder="1" applyAlignment="1">
      <alignment horizontal="center"/>
    </xf>
    <xf numFmtId="0" fontId="10" fillId="0" borderId="51" xfId="0" applyFont="1" applyBorder="1" applyAlignment="1">
      <alignment horizontal="center" vertical="center"/>
    </xf>
    <xf numFmtId="0" fontId="11" fillId="0" borderId="50" xfId="0" applyFont="1" applyBorder="1" applyAlignment="1">
      <alignment horizontal="center" vertical="center"/>
    </xf>
    <xf numFmtId="0" fontId="11"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69" xfId="0" applyFont="1" applyFill="1" applyBorder="1" applyAlignment="1">
      <alignment horizontal="center" vertical="center"/>
    </xf>
    <xf numFmtId="0" fontId="1" fillId="2" borderId="26" xfId="0" applyFont="1" applyFill="1" applyBorder="1" applyAlignment="1">
      <alignment horizontal="center" vertical="center"/>
    </xf>
    <xf numFmtId="0" fontId="12" fillId="5" borderId="44" xfId="0" applyFont="1" applyFill="1" applyBorder="1" applyAlignment="1">
      <alignment horizontal="center" vertical="center"/>
    </xf>
    <xf numFmtId="0" fontId="12" fillId="5" borderId="31" xfId="0" applyFont="1" applyFill="1" applyBorder="1" applyAlignment="1">
      <alignment horizontal="center" vertical="center"/>
    </xf>
    <xf numFmtId="0" fontId="12" fillId="5" borderId="45" xfId="0" applyFont="1" applyFill="1" applyBorder="1" applyAlignment="1">
      <alignment horizontal="center" vertical="center"/>
    </xf>
    <xf numFmtId="0" fontId="1" fillId="2" borderId="2" xfId="0" applyFont="1" applyFill="1" applyBorder="1" applyAlignment="1">
      <alignment horizontal="center" vertical="center"/>
    </xf>
    <xf numFmtId="0" fontId="12" fillId="5" borderId="19" xfId="0" applyFont="1" applyFill="1" applyBorder="1" applyAlignment="1">
      <alignment horizontal="center" vertical="center"/>
    </xf>
    <xf numFmtId="0" fontId="12" fillId="5" borderId="52" xfId="0" applyFont="1" applyFill="1" applyBorder="1" applyAlignment="1">
      <alignment horizontal="center" vertical="center"/>
    </xf>
    <xf numFmtId="0" fontId="1" fillId="2" borderId="37" xfId="0" applyFont="1" applyFill="1" applyBorder="1" applyAlignment="1">
      <alignment horizontal="right" vertical="center"/>
    </xf>
    <xf numFmtId="0" fontId="1" fillId="0" borderId="39" xfId="0" applyFont="1" applyBorder="1" applyAlignment="1">
      <alignment horizontal="center"/>
    </xf>
    <xf numFmtId="0" fontId="12" fillId="5" borderId="48" xfId="0" applyFont="1" applyFill="1" applyBorder="1" applyAlignment="1">
      <alignment horizontal="right" vertical="center"/>
    </xf>
    <xf numFmtId="0" fontId="1" fillId="0" borderId="3"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3" borderId="35" xfId="0" applyFont="1" applyFill="1" applyBorder="1" applyAlignment="1">
      <alignment horizontal="center" vertical="center"/>
    </xf>
    <xf numFmtId="0" fontId="1" fillId="2" borderId="3"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vertical="center"/>
    </xf>
    <xf numFmtId="0" fontId="1" fillId="2" borderId="1" xfId="0" quotePrefix="1" applyFont="1" applyFill="1" applyBorder="1" applyAlignment="1">
      <alignment horizontal="left"/>
    </xf>
    <xf numFmtId="0" fontId="1" fillId="2" borderId="5" xfId="0" applyFont="1" applyFill="1" applyBorder="1" applyAlignment="1">
      <alignment horizontal="left" vertical="center"/>
    </xf>
    <xf numFmtId="0" fontId="1" fillId="2" borderId="35" xfId="0" applyFont="1" applyFill="1" applyBorder="1" applyAlignment="1">
      <alignment horizontal="left" vertical="center"/>
    </xf>
    <xf numFmtId="0" fontId="1" fillId="0" borderId="0" xfId="0" applyFont="1" applyAlignment="1">
      <alignment horizontal="left"/>
    </xf>
    <xf numFmtId="0" fontId="1" fillId="2" borderId="3" xfId="0" applyFont="1" applyFill="1" applyBorder="1" applyAlignment="1">
      <alignment horizontal="left" vertical="center"/>
    </xf>
    <xf numFmtId="0" fontId="6" fillId="2" borderId="9" xfId="0" applyFont="1" applyFill="1" applyBorder="1" applyAlignment="1">
      <alignment horizontal="left" vertical="center"/>
    </xf>
    <xf numFmtId="0" fontId="6" fillId="2" borderId="62" xfId="0" applyFont="1" applyFill="1" applyBorder="1" applyAlignment="1">
      <alignment horizontal="left" vertical="center"/>
    </xf>
    <xf numFmtId="0" fontId="6" fillId="2" borderId="10" xfId="0" applyFont="1" applyFill="1" applyBorder="1" applyAlignment="1">
      <alignment horizontal="left" vertical="center"/>
    </xf>
    <xf numFmtId="0" fontId="6" fillId="2" borderId="63" xfId="0" applyFont="1" applyFill="1" applyBorder="1" applyAlignment="1">
      <alignment horizontal="left" vertical="center"/>
    </xf>
    <xf numFmtId="0" fontId="1" fillId="2" borderId="3" xfId="0" applyFont="1" applyFill="1" applyBorder="1" applyAlignment="1">
      <alignment horizontal="center" vertical="center"/>
    </xf>
    <xf numFmtId="0" fontId="15" fillId="8" borderId="28" xfId="0" applyFont="1" applyFill="1" applyBorder="1" applyAlignment="1">
      <alignment horizontal="right" vertical="center"/>
    </xf>
    <xf numFmtId="0" fontId="15" fillId="8" borderId="0" xfId="0" applyFont="1" applyFill="1" applyAlignment="1">
      <alignment horizontal="right" vertical="center"/>
    </xf>
    <xf numFmtId="0" fontId="15" fillId="8" borderId="16" xfId="0" applyFont="1" applyFill="1" applyBorder="1" applyAlignment="1">
      <alignment horizontal="right" vertical="center"/>
    </xf>
    <xf numFmtId="0" fontId="15" fillId="8" borderId="0" xfId="0" applyFont="1" applyFill="1" applyBorder="1" applyAlignment="1">
      <alignment horizontal="right" vertical="center"/>
    </xf>
    <xf numFmtId="0" fontId="1" fillId="0" borderId="76" xfId="0" applyFont="1" applyBorder="1" applyAlignment="1">
      <alignment horizontal="center" vertical="center" wrapText="1"/>
    </xf>
    <xf numFmtId="0" fontId="1" fillId="0" borderId="77"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78" xfId="0" applyFont="1" applyBorder="1" applyAlignment="1">
      <alignment horizontal="center" vertical="center" wrapText="1"/>
    </xf>
    <xf numFmtId="0" fontId="15" fillId="8" borderId="66" xfId="0" applyFont="1" applyFill="1" applyBorder="1" applyAlignment="1">
      <alignment horizontal="center" vertical="center" wrapText="1"/>
    </xf>
    <xf numFmtId="0" fontId="0" fillId="0" borderId="0" xfId="0" applyBorder="1"/>
    <xf numFmtId="0" fontId="1" fillId="0" borderId="26" xfId="0" applyFont="1" applyBorder="1" applyAlignment="1">
      <alignment horizontal="center"/>
    </xf>
    <xf numFmtId="0" fontId="1" fillId="2" borderId="47" xfId="0" applyFont="1" applyFill="1" applyBorder="1" applyAlignment="1">
      <alignment horizontal="center" vertical="center"/>
    </xf>
    <xf numFmtId="0" fontId="0" fillId="0" borderId="51" xfId="0" applyBorder="1" applyAlignment="1">
      <alignment horizontal="center" vertical="center"/>
    </xf>
    <xf numFmtId="0" fontId="0" fillId="2" borderId="43" xfId="0" applyFill="1" applyBorder="1" applyAlignment="1">
      <alignment horizontal="center" vertical="center"/>
    </xf>
    <xf numFmtId="0" fontId="0" fillId="2" borderId="48" xfId="0" applyFill="1" applyBorder="1" applyAlignment="1">
      <alignment horizontal="center" vertical="center"/>
    </xf>
    <xf numFmtId="0" fontId="1" fillId="2" borderId="43" xfId="0" applyFont="1" applyFill="1" applyBorder="1" applyAlignment="1">
      <alignment horizontal="center" vertical="center"/>
    </xf>
    <xf numFmtId="0" fontId="1" fillId="2" borderId="69" xfId="0" applyFont="1" applyFill="1" applyBorder="1" applyAlignment="1">
      <alignment horizontal="center" vertical="center"/>
    </xf>
    <xf numFmtId="0" fontId="12" fillId="5" borderId="26" xfId="0" applyFont="1" applyFill="1" applyBorder="1" applyAlignment="1">
      <alignment horizontal="center" vertical="center"/>
    </xf>
    <xf numFmtId="0" fontId="12" fillId="5" borderId="29" xfId="0" applyFont="1" applyFill="1" applyBorder="1" applyAlignment="1">
      <alignment horizontal="center" vertical="center"/>
    </xf>
    <xf numFmtId="0" fontId="12" fillId="5" borderId="28" xfId="0" applyFont="1" applyFill="1" applyBorder="1" applyAlignment="1">
      <alignment horizontal="center" vertical="center"/>
    </xf>
    <xf numFmtId="0" fontId="12" fillId="5" borderId="27" xfId="0" applyFont="1" applyFill="1" applyBorder="1" applyAlignment="1">
      <alignment horizontal="center" vertical="center"/>
    </xf>
    <xf numFmtId="0" fontId="14" fillId="6" borderId="25" xfId="0" applyFont="1" applyFill="1" applyBorder="1" applyAlignment="1">
      <alignment horizontal="center" vertical="center"/>
    </xf>
    <xf numFmtId="0" fontId="14" fillId="6" borderId="0" xfId="0" applyFont="1" applyFill="1" applyAlignment="1">
      <alignment horizontal="center" vertical="center"/>
    </xf>
    <xf numFmtId="0" fontId="12" fillId="6" borderId="25" xfId="0" applyFont="1" applyFill="1" applyBorder="1" applyAlignment="1">
      <alignment horizontal="center" wrapText="1"/>
    </xf>
    <xf numFmtId="0" fontId="12" fillId="6" borderId="0" xfId="0" applyFont="1" applyFill="1" applyAlignment="1">
      <alignment horizontal="center" wrapText="1"/>
    </xf>
    <xf numFmtId="0" fontId="6" fillId="3" borderId="0" xfId="0" applyFont="1" applyFill="1" applyAlignment="1">
      <alignment horizont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2" borderId="48" xfId="0" applyFont="1" applyFill="1" applyBorder="1" applyAlignment="1">
      <alignment horizontal="center" vertical="center"/>
    </xf>
    <xf numFmtId="0" fontId="12" fillId="5" borderId="44"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31" xfId="0" applyFont="1" applyFill="1" applyBorder="1" applyAlignment="1">
      <alignment horizontal="center" vertical="center"/>
    </xf>
    <xf numFmtId="0" fontId="12" fillId="5" borderId="41" xfId="0" applyFont="1" applyFill="1" applyBorder="1" applyAlignment="1">
      <alignment horizontal="center" vertical="center"/>
    </xf>
    <xf numFmtId="0" fontId="12" fillId="5" borderId="45" xfId="0" applyFont="1" applyFill="1" applyBorder="1" applyAlignment="1">
      <alignment horizontal="center" vertical="center"/>
    </xf>
    <xf numFmtId="0" fontId="12" fillId="5" borderId="49"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5" xfId="0" applyFont="1" applyBorder="1" applyAlignment="1">
      <alignment horizontal="center" vertical="center"/>
    </xf>
    <xf numFmtId="0" fontId="0" fillId="0" borderId="43" xfId="0" applyBorder="1" applyAlignment="1">
      <alignment horizontal="center" vertical="top" wrapText="1"/>
    </xf>
    <xf numFmtId="0" fontId="0" fillId="0" borderId="69" xfId="0" applyBorder="1" applyAlignment="1">
      <alignment horizontal="center" vertical="top" wrapText="1"/>
    </xf>
    <xf numFmtId="0" fontId="0" fillId="0" borderId="48" xfId="0" applyBorder="1" applyAlignment="1">
      <alignment horizontal="center" vertical="top" wrapText="1"/>
    </xf>
    <xf numFmtId="0" fontId="1" fillId="0" borderId="20" xfId="0" applyFont="1" applyBorder="1" applyAlignment="1">
      <alignment horizontal="center" vertical="center"/>
    </xf>
    <xf numFmtId="0" fontId="1" fillId="0" borderId="54" xfId="0" applyFont="1" applyBorder="1" applyAlignment="1">
      <alignment horizontal="center" vertical="center"/>
    </xf>
    <xf numFmtId="0" fontId="1" fillId="0" borderId="66" xfId="0" applyFont="1" applyBorder="1" applyAlignment="1">
      <alignment horizontal="center" vertical="center"/>
    </xf>
    <xf numFmtId="0" fontId="1" fillId="0" borderId="67" xfId="0" applyFont="1" applyBorder="1" applyAlignment="1">
      <alignment horizontal="center" vertical="center"/>
    </xf>
    <xf numFmtId="0" fontId="1" fillId="2" borderId="37" xfId="0" applyFont="1" applyFill="1" applyBorder="1" applyAlignment="1">
      <alignment horizontal="center"/>
    </xf>
    <xf numFmtId="0" fontId="1" fillId="2" borderId="38" xfId="0" applyFont="1" applyFill="1" applyBorder="1" applyAlignment="1">
      <alignment horizontal="center"/>
    </xf>
    <xf numFmtId="0" fontId="1" fillId="2" borderId="47" xfId="0" applyFont="1" applyFill="1" applyBorder="1" applyAlignment="1">
      <alignment horizontal="center"/>
    </xf>
    <xf numFmtId="0" fontId="1" fillId="2" borderId="39" xfId="0" applyFont="1" applyFill="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0"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0" xfId="0" applyFont="1" applyFill="1" applyBorder="1" applyAlignment="1">
      <alignment horizontal="center" vertical="center"/>
    </xf>
    <xf numFmtId="0" fontId="6" fillId="7" borderId="69"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69" xfId="0" applyFont="1" applyFill="1" applyBorder="1" applyAlignment="1">
      <alignment horizontal="center" vertical="center" wrapText="1"/>
    </xf>
    <xf numFmtId="0" fontId="1" fillId="0" borderId="42" xfId="0" applyFont="1" applyBorder="1" applyAlignment="1">
      <alignment horizontal="center" vertical="top" wrapText="1"/>
    </xf>
    <xf numFmtId="0" fontId="1" fillId="0" borderId="28" xfId="0" applyFont="1" applyBorder="1" applyAlignment="1">
      <alignment horizontal="center" vertical="top" wrapText="1"/>
    </xf>
    <xf numFmtId="0" fontId="1" fillId="0" borderId="33" xfId="0" applyFont="1" applyBorder="1" applyAlignment="1">
      <alignment horizontal="center" vertical="top" wrapText="1"/>
    </xf>
    <xf numFmtId="0" fontId="1" fillId="0" borderId="25" xfId="0" applyFont="1" applyBorder="1" applyAlignment="1">
      <alignment horizontal="center" vertical="top" wrapText="1"/>
    </xf>
    <xf numFmtId="0" fontId="1" fillId="0" borderId="0" xfId="0" applyFont="1" applyAlignment="1">
      <alignment horizontal="center" vertical="top" wrapText="1"/>
    </xf>
    <xf numFmtId="0" fontId="1" fillId="0" borderId="30" xfId="0" applyFont="1" applyBorder="1" applyAlignment="1">
      <alignment horizontal="center" vertical="top" wrapText="1"/>
    </xf>
    <xf numFmtId="0" fontId="1" fillId="0" borderId="23" xfId="0" applyFont="1" applyBorder="1" applyAlignment="1">
      <alignment horizontal="center" vertical="top" wrapText="1"/>
    </xf>
    <xf numFmtId="0" fontId="1" fillId="0" borderId="16" xfId="0" applyFont="1" applyBorder="1" applyAlignment="1">
      <alignment horizontal="center" vertical="top" wrapText="1"/>
    </xf>
    <xf numFmtId="0" fontId="1" fillId="0" borderId="32" xfId="0" applyFont="1" applyBorder="1" applyAlignment="1">
      <alignment horizontal="center" vertical="top" wrapText="1"/>
    </xf>
    <xf numFmtId="0" fontId="1" fillId="0" borderId="4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0" xfId="0" applyFont="1" applyAlignment="1">
      <alignment horizontal="center" vertical="center" wrapText="1"/>
    </xf>
    <xf numFmtId="0" fontId="1" fillId="0" borderId="16" xfId="0" applyFont="1" applyBorder="1" applyAlignment="1">
      <alignment horizontal="center" vertical="center" wrapText="1"/>
    </xf>
    <xf numFmtId="0" fontId="1" fillId="2" borderId="29" xfId="0" applyFont="1" applyFill="1" applyBorder="1" applyAlignment="1">
      <alignment horizontal="center" vertical="center"/>
    </xf>
    <xf numFmtId="0" fontId="1" fillId="0" borderId="42" xfId="0" applyFont="1" applyBorder="1" applyAlignment="1">
      <alignment horizontal="center" vertical="center"/>
    </xf>
    <xf numFmtId="0" fontId="1" fillId="0" borderId="28" xfId="0" applyFont="1" applyBorder="1" applyAlignment="1">
      <alignment horizontal="center" vertical="center"/>
    </xf>
    <xf numFmtId="0" fontId="1" fillId="0" borderId="33" xfId="0" applyFont="1" applyBorder="1" applyAlignment="1">
      <alignment horizontal="center" vertical="center"/>
    </xf>
    <xf numFmtId="0" fontId="0" fillId="2" borderId="52" xfId="0" applyFill="1" applyBorder="1" applyAlignment="1">
      <alignment horizontal="left" vertical="center"/>
    </xf>
    <xf numFmtId="0" fontId="0" fillId="2" borderId="28" xfId="0" applyFill="1" applyBorder="1" applyAlignment="1">
      <alignment horizontal="left" vertical="center"/>
    </xf>
    <xf numFmtId="0" fontId="0" fillId="2" borderId="33" xfId="0" applyFill="1" applyBorder="1" applyAlignment="1">
      <alignment horizontal="left" vertical="center"/>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0" fontId="5" fillId="2" borderId="26"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1" fillId="0" borderId="42" xfId="0" applyFont="1" applyBorder="1" applyAlignment="1">
      <alignment horizontal="center"/>
    </xf>
    <xf numFmtId="0" fontId="1" fillId="0" borderId="33" xfId="0" applyFont="1" applyBorder="1" applyAlignment="1">
      <alignment horizontal="center"/>
    </xf>
    <xf numFmtId="0" fontId="1" fillId="0" borderId="25" xfId="0" applyFont="1" applyBorder="1" applyAlignment="1">
      <alignment horizontal="center"/>
    </xf>
    <xf numFmtId="0" fontId="1" fillId="0" borderId="30" xfId="0" applyFont="1" applyBorder="1" applyAlignment="1">
      <alignment horizontal="center"/>
    </xf>
    <xf numFmtId="0" fontId="1" fillId="0" borderId="23" xfId="0" applyFont="1" applyBorder="1" applyAlignment="1">
      <alignment horizontal="center"/>
    </xf>
    <xf numFmtId="0" fontId="1" fillId="0" borderId="32" xfId="0" applyFont="1" applyBorder="1" applyAlignment="1">
      <alignment horizontal="center"/>
    </xf>
    <xf numFmtId="0" fontId="1" fillId="0" borderId="40"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5" fillId="8" borderId="6" xfId="0" applyFont="1" applyFill="1" applyBorder="1" applyAlignment="1">
      <alignment horizontal="left" vertical="center"/>
    </xf>
    <xf numFmtId="0" fontId="15" fillId="8" borderId="35" xfId="0" applyFont="1" applyFill="1" applyBorder="1" applyAlignment="1">
      <alignment horizontal="left" vertical="center"/>
    </xf>
    <xf numFmtId="0" fontId="15" fillId="8" borderId="7" xfId="0" applyFont="1" applyFill="1" applyBorder="1" applyAlignment="1">
      <alignment horizontal="left" vertical="center" wrapText="1"/>
    </xf>
    <xf numFmtId="0" fontId="15" fillId="8" borderId="1" xfId="0" applyFont="1" applyFill="1" applyBorder="1" applyAlignment="1">
      <alignment horizontal="left" vertical="center" wrapText="1"/>
    </xf>
    <xf numFmtId="0" fontId="15" fillId="8" borderId="4" xfId="0" applyFont="1" applyFill="1" applyBorder="1" applyAlignment="1">
      <alignment horizontal="left" vertical="center"/>
    </xf>
    <xf numFmtId="0" fontId="15" fillId="8" borderId="5" xfId="0" applyFont="1" applyFill="1" applyBorder="1" applyAlignment="1">
      <alignment horizontal="left" vertical="center"/>
    </xf>
    <xf numFmtId="0" fontId="15" fillId="8" borderId="1" xfId="0" applyFont="1" applyFill="1" applyBorder="1" applyAlignment="1">
      <alignment horizontal="left" vertical="center"/>
    </xf>
    <xf numFmtId="0" fontId="15" fillId="8" borderId="21" xfId="0" applyFont="1" applyFill="1" applyBorder="1" applyAlignment="1">
      <alignment horizontal="left" vertical="center"/>
    </xf>
    <xf numFmtId="0" fontId="15" fillId="8" borderId="22" xfId="0" applyFont="1" applyFill="1" applyBorder="1" applyAlignment="1">
      <alignment horizontal="left" vertical="center"/>
    </xf>
    <xf numFmtId="0" fontId="15" fillId="8" borderId="25" xfId="0" applyFont="1" applyFill="1" applyBorder="1" applyAlignment="1">
      <alignment horizontal="right" vertical="center"/>
    </xf>
    <xf numFmtId="0" fontId="15" fillId="8" borderId="0" xfId="0" applyFont="1" applyFill="1" applyBorder="1" applyAlignment="1">
      <alignment horizontal="right" vertical="center"/>
    </xf>
    <xf numFmtId="0" fontId="15" fillId="8" borderId="23" xfId="0" applyFont="1" applyFill="1" applyBorder="1" applyAlignment="1">
      <alignment horizontal="right" vertical="center"/>
    </xf>
    <xf numFmtId="0" fontId="15" fillId="8" borderId="16" xfId="0" applyFont="1" applyFill="1" applyBorder="1" applyAlignment="1">
      <alignment horizontal="right" vertical="center"/>
    </xf>
    <xf numFmtId="0" fontId="15" fillId="8" borderId="35" xfId="0" applyFont="1" applyFill="1" applyBorder="1" applyAlignment="1">
      <alignment horizontal="center" vertical="center"/>
    </xf>
    <xf numFmtId="0" fontId="15" fillId="8" borderId="24" xfId="0" applyFont="1" applyFill="1" applyBorder="1" applyAlignment="1">
      <alignment horizontal="center" vertical="center"/>
    </xf>
    <xf numFmtId="0" fontId="4" fillId="0" borderId="42" xfId="0" applyFont="1" applyBorder="1" applyAlignment="1">
      <alignment horizontal="right" vertical="center"/>
    </xf>
    <xf numFmtId="0" fontId="4" fillId="0" borderId="19" xfId="0" applyFont="1" applyBorder="1" applyAlignment="1">
      <alignment horizontal="right" vertical="center"/>
    </xf>
    <xf numFmtId="0" fontId="4" fillId="0" borderId="23" xfId="0" applyFont="1" applyBorder="1" applyAlignment="1">
      <alignment horizontal="center" vertical="center"/>
    </xf>
    <xf numFmtId="0" fontId="4" fillId="0" borderId="16" xfId="0" applyFont="1" applyBorder="1" applyAlignment="1">
      <alignment horizontal="center" vertical="center"/>
    </xf>
    <xf numFmtId="0" fontId="4" fillId="0" borderId="32" xfId="0" applyFont="1" applyBorder="1" applyAlignment="1">
      <alignment horizontal="center" vertical="center"/>
    </xf>
    <xf numFmtId="0" fontId="4" fillId="0" borderId="26" xfId="0" applyFont="1" applyBorder="1" applyAlignment="1">
      <alignment horizontal="right" vertical="center"/>
    </xf>
    <xf numFmtId="0" fontId="4" fillId="0" borderId="40" xfId="0" applyFont="1" applyBorder="1" applyAlignment="1">
      <alignment horizontal="right" vertical="center"/>
    </xf>
    <xf numFmtId="0" fontId="15" fillId="8" borderId="42" xfId="0" applyFont="1" applyFill="1" applyBorder="1" applyAlignment="1">
      <alignment horizontal="right" vertical="center"/>
    </xf>
    <xf numFmtId="0" fontId="15" fillId="8" borderId="28" xfId="0" applyFont="1" applyFill="1" applyBorder="1" applyAlignment="1">
      <alignment horizontal="right" vertical="center"/>
    </xf>
    <xf numFmtId="0" fontId="15" fillId="8" borderId="2" xfId="0" applyFont="1" applyFill="1" applyBorder="1" applyAlignment="1">
      <alignment horizontal="left" vertical="center"/>
    </xf>
    <xf numFmtId="0" fontId="15" fillId="8" borderId="3" xfId="0" applyFont="1" applyFill="1" applyBorder="1" applyAlignment="1">
      <alignment horizontal="left" vertical="center"/>
    </xf>
    <xf numFmtId="0" fontId="15" fillId="8" borderId="3" xfId="0" applyFont="1" applyFill="1" applyBorder="1" applyAlignment="1">
      <alignment horizontal="center" vertical="center"/>
    </xf>
    <xf numFmtId="0" fontId="15" fillId="8" borderId="20" xfId="0" applyFont="1" applyFill="1" applyBorder="1" applyAlignment="1">
      <alignment horizontal="center" vertical="center"/>
    </xf>
    <xf numFmtId="0" fontId="4" fillId="0" borderId="26"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34" xfId="0" applyFont="1" applyBorder="1" applyAlignment="1">
      <alignment horizontal="center" vertical="center" wrapText="1"/>
    </xf>
    <xf numFmtId="0" fontId="5" fillId="2" borderId="25"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1" fillId="0" borderId="37" xfId="0" applyFont="1" applyBorder="1" applyAlignment="1">
      <alignment horizontal="center" vertical="center"/>
    </xf>
    <xf numFmtId="0" fontId="15" fillId="8" borderId="0" xfId="0" applyFont="1" applyFill="1" applyAlignment="1">
      <alignment horizontal="right" vertical="center"/>
    </xf>
    <xf numFmtId="0" fontId="5" fillId="2" borderId="26"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27" xfId="0" applyFont="1" applyFill="1" applyBorder="1" applyAlignment="1">
      <alignment horizontal="center" vertical="center"/>
    </xf>
    <xf numFmtId="0" fontId="1" fillId="0" borderId="0" xfId="0" applyFont="1" applyBorder="1" applyAlignment="1">
      <alignment horizontal="center" vertical="center" wrapText="1"/>
    </xf>
    <xf numFmtId="0" fontId="4" fillId="0" borderId="25" xfId="0" applyFont="1" applyBorder="1" applyAlignment="1">
      <alignment horizontal="right" vertical="center"/>
    </xf>
    <xf numFmtId="0" fontId="4" fillId="0" borderId="60" xfId="0" applyFont="1" applyBorder="1" applyAlignment="1">
      <alignment horizontal="right" vertical="center"/>
    </xf>
    <xf numFmtId="0" fontId="4" fillId="0" borderId="23" xfId="0" applyFont="1" applyBorder="1" applyAlignment="1">
      <alignment horizontal="right" vertical="center"/>
    </xf>
    <xf numFmtId="0" fontId="4" fillId="0" borderId="58" xfId="0" applyFont="1" applyBorder="1" applyAlignment="1">
      <alignment horizontal="right" vertical="center"/>
    </xf>
    <xf numFmtId="0" fontId="4" fillId="2" borderId="45" xfId="0" applyFont="1" applyFill="1" applyBorder="1" applyAlignment="1">
      <alignment horizontal="center" vertical="center"/>
    </xf>
    <xf numFmtId="0" fontId="4" fillId="2" borderId="53" xfId="0" applyFont="1" applyFill="1" applyBorder="1" applyAlignment="1">
      <alignment horizontal="center" vertical="center"/>
    </xf>
    <xf numFmtId="0" fontId="4" fillId="2" borderId="49" xfId="0" applyFont="1" applyFill="1" applyBorder="1" applyAlignment="1">
      <alignment horizontal="center" vertical="center"/>
    </xf>
    <xf numFmtId="0" fontId="15" fillId="8" borderId="50"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15" fillId="8" borderId="54" xfId="0" applyFont="1" applyFill="1" applyBorder="1" applyAlignment="1">
      <alignment horizontal="center" vertical="center" wrapText="1"/>
    </xf>
    <xf numFmtId="0" fontId="15" fillId="8" borderId="56" xfId="0" applyFont="1" applyFill="1" applyBorder="1" applyAlignment="1">
      <alignment horizontal="center" vertical="center" wrapText="1"/>
    </xf>
    <xf numFmtId="0" fontId="15" fillId="8" borderId="74" xfId="0" applyFont="1" applyFill="1" applyBorder="1" applyAlignment="1">
      <alignment horizontal="center" vertical="center" wrapText="1"/>
    </xf>
    <xf numFmtId="0" fontId="15" fillId="8" borderId="75" xfId="0" applyFont="1" applyFill="1" applyBorder="1" applyAlignment="1">
      <alignment horizontal="center" vertical="center" wrapText="1"/>
    </xf>
    <xf numFmtId="1" fontId="9" fillId="2" borderId="37" xfId="0" applyNumberFormat="1" applyFont="1" applyFill="1" applyBorder="1" applyAlignment="1">
      <alignment horizontal="center" vertical="center"/>
    </xf>
    <xf numFmtId="1" fontId="9" fillId="2" borderId="38" xfId="0" applyNumberFormat="1" applyFont="1" applyFill="1" applyBorder="1" applyAlignment="1">
      <alignment horizontal="center" vertical="center"/>
    </xf>
    <xf numFmtId="1" fontId="9" fillId="2" borderId="39" xfId="0" applyNumberFormat="1" applyFont="1" applyFill="1" applyBorder="1" applyAlignment="1">
      <alignment horizontal="center" vertical="center"/>
    </xf>
    <xf numFmtId="1" fontId="0" fillId="0" borderId="18" xfId="0" applyNumberFormat="1" applyBorder="1" applyAlignment="1">
      <alignment horizontal="right" vertical="center"/>
    </xf>
    <xf numFmtId="1" fontId="0" fillId="0" borderId="41" xfId="0" applyNumberFormat="1" applyBorder="1" applyAlignment="1">
      <alignment horizontal="right" vertical="center"/>
    </xf>
    <xf numFmtId="0" fontId="0" fillId="0" borderId="41" xfId="0" applyBorder="1" applyAlignment="1">
      <alignment horizontal="center"/>
    </xf>
    <xf numFmtId="1" fontId="1" fillId="2" borderId="37" xfId="0" applyNumberFormat="1" applyFont="1" applyFill="1" applyBorder="1" applyAlignment="1">
      <alignment horizontal="center" vertical="center" wrapText="1"/>
    </xf>
    <xf numFmtId="1" fontId="1" fillId="2" borderId="38" xfId="0" applyNumberFormat="1" applyFont="1" applyFill="1" applyBorder="1" applyAlignment="1">
      <alignment horizontal="center" vertical="center" wrapText="1"/>
    </xf>
    <xf numFmtId="1" fontId="1" fillId="2" borderId="39" xfId="0" applyNumberFormat="1" applyFont="1" applyFill="1" applyBorder="1" applyAlignment="1">
      <alignment horizontal="center" vertical="center" wrapText="1"/>
    </xf>
    <xf numFmtId="0" fontId="16" fillId="5" borderId="0" xfId="0" applyFont="1" applyFill="1" applyAlignment="1">
      <alignment horizontal="center"/>
    </xf>
  </cellXfs>
  <cellStyles count="431">
    <cellStyle name="Followed Hyperlink" xfId="200" builtinId="9" hidden="1"/>
    <cellStyle name="Followed Hyperlink" xfId="208" builtinId="9" hidden="1"/>
    <cellStyle name="Followed Hyperlink" xfId="216" builtinId="9" hidden="1"/>
    <cellStyle name="Followed Hyperlink" xfId="224" builtinId="9" hidden="1"/>
    <cellStyle name="Followed Hyperlink" xfId="232" builtinId="9" hidden="1"/>
    <cellStyle name="Followed Hyperlink" xfId="240" builtinId="9" hidden="1"/>
    <cellStyle name="Followed Hyperlink" xfId="248" builtinId="9" hidden="1"/>
    <cellStyle name="Followed Hyperlink" xfId="256" builtinId="9" hidden="1"/>
    <cellStyle name="Followed Hyperlink" xfId="264" builtinId="9" hidden="1"/>
    <cellStyle name="Followed Hyperlink" xfId="272" builtinId="9" hidden="1"/>
    <cellStyle name="Followed Hyperlink" xfId="280" builtinId="9" hidden="1"/>
    <cellStyle name="Followed Hyperlink" xfId="288" builtinId="9" hidden="1"/>
    <cellStyle name="Followed Hyperlink" xfId="296" builtinId="9" hidden="1"/>
    <cellStyle name="Followed Hyperlink" xfId="304" builtinId="9" hidden="1"/>
    <cellStyle name="Followed Hyperlink" xfId="312" builtinId="9" hidden="1"/>
    <cellStyle name="Followed Hyperlink" xfId="320" builtinId="9" hidden="1"/>
    <cellStyle name="Followed Hyperlink" xfId="328" builtinId="9" hidden="1"/>
    <cellStyle name="Followed Hyperlink" xfId="336" builtinId="9" hidden="1"/>
    <cellStyle name="Followed Hyperlink" xfId="344" builtinId="9" hidden="1"/>
    <cellStyle name="Followed Hyperlink" xfId="352" builtinId="9" hidden="1"/>
    <cellStyle name="Followed Hyperlink" xfId="360" builtinId="9" hidden="1"/>
    <cellStyle name="Followed Hyperlink" xfId="368" builtinId="9" hidden="1"/>
    <cellStyle name="Followed Hyperlink" xfId="376" builtinId="9" hidden="1"/>
    <cellStyle name="Followed Hyperlink" xfId="384" builtinId="9" hidden="1"/>
    <cellStyle name="Followed Hyperlink" xfId="392" builtinId="9" hidden="1"/>
    <cellStyle name="Followed Hyperlink" xfId="400" builtinId="9" hidden="1"/>
    <cellStyle name="Followed Hyperlink" xfId="408" builtinId="9" hidden="1"/>
    <cellStyle name="Followed Hyperlink" xfId="416" builtinId="9" hidden="1"/>
    <cellStyle name="Followed Hyperlink" xfId="424" builtinId="9" hidden="1"/>
    <cellStyle name="Followed Hyperlink" xfId="430" builtinId="9" hidden="1"/>
    <cellStyle name="Followed Hyperlink" xfId="422" builtinId="9" hidden="1"/>
    <cellStyle name="Followed Hyperlink" xfId="414" builtinId="9" hidden="1"/>
    <cellStyle name="Followed Hyperlink" xfId="406" builtinId="9" hidden="1"/>
    <cellStyle name="Followed Hyperlink" xfId="398" builtinId="9" hidden="1"/>
    <cellStyle name="Followed Hyperlink" xfId="390" builtinId="9" hidden="1"/>
    <cellStyle name="Followed Hyperlink" xfId="382" builtinId="9" hidden="1"/>
    <cellStyle name="Followed Hyperlink" xfId="374" builtinId="9" hidden="1"/>
    <cellStyle name="Followed Hyperlink" xfId="366" builtinId="9" hidden="1"/>
    <cellStyle name="Followed Hyperlink" xfId="358" builtinId="9" hidden="1"/>
    <cellStyle name="Followed Hyperlink" xfId="350" builtinId="9" hidden="1"/>
    <cellStyle name="Followed Hyperlink" xfId="342" builtinId="9" hidden="1"/>
    <cellStyle name="Followed Hyperlink" xfId="334" builtinId="9" hidden="1"/>
    <cellStyle name="Followed Hyperlink" xfId="326" builtinId="9" hidden="1"/>
    <cellStyle name="Followed Hyperlink" xfId="318" builtinId="9" hidden="1"/>
    <cellStyle name="Followed Hyperlink" xfId="310" builtinId="9" hidden="1"/>
    <cellStyle name="Followed Hyperlink" xfId="302" builtinId="9" hidden="1"/>
    <cellStyle name="Followed Hyperlink" xfId="294" builtinId="9" hidden="1"/>
    <cellStyle name="Followed Hyperlink" xfId="286" builtinId="9" hidden="1"/>
    <cellStyle name="Followed Hyperlink" xfId="278" builtinId="9" hidden="1"/>
    <cellStyle name="Followed Hyperlink" xfId="270" builtinId="9" hidden="1"/>
    <cellStyle name="Followed Hyperlink" xfId="262" builtinId="9" hidden="1"/>
    <cellStyle name="Followed Hyperlink" xfId="254" builtinId="9" hidden="1"/>
    <cellStyle name="Followed Hyperlink" xfId="246" builtinId="9" hidden="1"/>
    <cellStyle name="Followed Hyperlink" xfId="238" builtinId="9" hidden="1"/>
    <cellStyle name="Followed Hyperlink" xfId="230" builtinId="9" hidden="1"/>
    <cellStyle name="Followed Hyperlink" xfId="222" builtinId="9" hidden="1"/>
    <cellStyle name="Followed Hyperlink" xfId="214" builtinId="9" hidden="1"/>
    <cellStyle name="Followed Hyperlink" xfId="206" builtinId="9" hidden="1"/>
    <cellStyle name="Followed Hyperlink" xfId="198" builtinId="9" hidden="1"/>
    <cellStyle name="Followed Hyperlink" xfId="190" builtinId="9" hidden="1"/>
    <cellStyle name="Followed Hyperlink" xfId="182" builtinId="9" hidden="1"/>
    <cellStyle name="Followed Hyperlink" xfId="174" builtinId="9" hidden="1"/>
    <cellStyle name="Followed Hyperlink" xfId="166" builtinId="9" hidden="1"/>
    <cellStyle name="Followed Hyperlink" xfId="158" builtinId="9" hidden="1"/>
    <cellStyle name="Followed Hyperlink" xfId="150" builtinId="9" hidden="1"/>
    <cellStyle name="Followed Hyperlink" xfId="142" builtinId="9" hidden="1"/>
    <cellStyle name="Followed Hyperlink" xfId="134" builtinId="9" hidden="1"/>
    <cellStyle name="Followed Hyperlink" xfId="126" builtinId="9" hidden="1"/>
    <cellStyle name="Followed Hyperlink" xfId="118" builtinId="9" hidden="1"/>
    <cellStyle name="Followed Hyperlink" xfId="110" builtinId="9" hidden="1"/>
    <cellStyle name="Followed Hyperlink" xfId="102" builtinId="9" hidden="1"/>
    <cellStyle name="Followed Hyperlink" xfId="94" builtinId="9" hidden="1"/>
    <cellStyle name="Followed Hyperlink" xfId="86" builtinId="9" hidden="1"/>
    <cellStyle name="Followed Hyperlink" xfId="78" builtinId="9" hidden="1"/>
    <cellStyle name="Followed Hyperlink" xfId="70" builtinId="9" hidden="1"/>
    <cellStyle name="Followed Hyperlink" xfId="24" builtinId="9" hidden="1"/>
    <cellStyle name="Followed Hyperlink" xfId="28" builtinId="9" hidden="1"/>
    <cellStyle name="Followed Hyperlink" xfId="34" builtinId="9" hidden="1"/>
    <cellStyle name="Followed Hyperlink" xfId="40" builtinId="9" hidden="1"/>
    <cellStyle name="Followed Hyperlink" xfId="44" builtinId="9" hidden="1"/>
    <cellStyle name="Followed Hyperlink" xfId="50" builtinId="9" hidden="1"/>
    <cellStyle name="Followed Hyperlink" xfId="56" builtinId="9" hidden="1"/>
    <cellStyle name="Followed Hyperlink" xfId="60" builtinId="9" hidden="1"/>
    <cellStyle name="Followed Hyperlink" xfId="62" builtinId="9" hidden="1"/>
    <cellStyle name="Followed Hyperlink" xfId="46" builtinId="9" hidden="1"/>
    <cellStyle name="Followed Hyperlink" xfId="30" builtinId="9" hidden="1"/>
    <cellStyle name="Followed Hyperlink" xfId="10" builtinId="9" hidden="1"/>
    <cellStyle name="Followed Hyperlink" xfId="16" builtinId="9" hidden="1"/>
    <cellStyle name="Followed Hyperlink" xfId="20"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4" builtinId="9" hidden="1"/>
    <cellStyle name="Followed Hyperlink" xfId="18" builtinId="9" hidden="1"/>
    <cellStyle name="Followed Hyperlink" xfId="12" builtinId="9" hidden="1"/>
    <cellStyle name="Followed Hyperlink" xfId="22" builtinId="9" hidden="1"/>
    <cellStyle name="Followed Hyperlink" xfId="38" builtinId="9" hidden="1"/>
    <cellStyle name="Followed Hyperlink" xfId="54" builtinId="9" hidden="1"/>
    <cellStyle name="Followed Hyperlink" xfId="64" builtinId="9" hidden="1"/>
    <cellStyle name="Followed Hyperlink" xfId="58" builtinId="9" hidden="1"/>
    <cellStyle name="Followed Hyperlink" xfId="52" builtinId="9" hidden="1"/>
    <cellStyle name="Followed Hyperlink" xfId="48" builtinId="9" hidden="1"/>
    <cellStyle name="Followed Hyperlink" xfId="42" builtinId="9" hidden="1"/>
    <cellStyle name="Followed Hyperlink" xfId="36" builtinId="9" hidden="1"/>
    <cellStyle name="Followed Hyperlink" xfId="32" builtinId="9" hidden="1"/>
    <cellStyle name="Followed Hyperlink" xfId="26" builtinId="9" hidden="1"/>
    <cellStyle name="Followed Hyperlink" xfId="66" builtinId="9" hidden="1"/>
    <cellStyle name="Followed Hyperlink" xfId="74" builtinId="9" hidden="1"/>
    <cellStyle name="Followed Hyperlink" xfId="82" builtinId="9" hidden="1"/>
    <cellStyle name="Followed Hyperlink" xfId="90" builtinId="9" hidden="1"/>
    <cellStyle name="Followed Hyperlink" xfId="98" builtinId="9" hidden="1"/>
    <cellStyle name="Followed Hyperlink" xfId="106" builtinId="9" hidden="1"/>
    <cellStyle name="Followed Hyperlink" xfId="114" builtinId="9" hidden="1"/>
    <cellStyle name="Followed Hyperlink" xfId="122" builtinId="9" hidden="1"/>
    <cellStyle name="Followed Hyperlink" xfId="130" builtinId="9" hidden="1"/>
    <cellStyle name="Followed Hyperlink" xfId="138" builtinId="9" hidden="1"/>
    <cellStyle name="Followed Hyperlink" xfId="146" builtinId="9" hidden="1"/>
    <cellStyle name="Followed Hyperlink" xfId="154" builtinId="9" hidden="1"/>
    <cellStyle name="Followed Hyperlink" xfId="162" builtinId="9" hidden="1"/>
    <cellStyle name="Followed Hyperlink" xfId="170" builtinId="9" hidden="1"/>
    <cellStyle name="Followed Hyperlink" xfId="178" builtinId="9" hidden="1"/>
    <cellStyle name="Followed Hyperlink" xfId="186" builtinId="9" hidden="1"/>
    <cellStyle name="Followed Hyperlink" xfId="194" builtinId="9" hidden="1"/>
    <cellStyle name="Followed Hyperlink" xfId="202" builtinId="9" hidden="1"/>
    <cellStyle name="Followed Hyperlink" xfId="210" builtinId="9" hidden="1"/>
    <cellStyle name="Followed Hyperlink" xfId="218" builtinId="9" hidden="1"/>
    <cellStyle name="Followed Hyperlink" xfId="226" builtinId="9" hidden="1"/>
    <cellStyle name="Followed Hyperlink" xfId="234" builtinId="9" hidden="1"/>
    <cellStyle name="Followed Hyperlink" xfId="242" builtinId="9" hidden="1"/>
    <cellStyle name="Followed Hyperlink" xfId="250" builtinId="9" hidden="1"/>
    <cellStyle name="Followed Hyperlink" xfId="258" builtinId="9" hidden="1"/>
    <cellStyle name="Followed Hyperlink" xfId="266" builtinId="9" hidden="1"/>
    <cellStyle name="Followed Hyperlink" xfId="274" builtinId="9" hidden="1"/>
    <cellStyle name="Followed Hyperlink" xfId="282" builtinId="9" hidden="1"/>
    <cellStyle name="Followed Hyperlink" xfId="290" builtinId="9" hidden="1"/>
    <cellStyle name="Followed Hyperlink" xfId="298" builtinId="9" hidden="1"/>
    <cellStyle name="Followed Hyperlink" xfId="306" builtinId="9" hidden="1"/>
    <cellStyle name="Followed Hyperlink" xfId="314" builtinId="9" hidden="1"/>
    <cellStyle name="Followed Hyperlink" xfId="322" builtinId="9" hidden="1"/>
    <cellStyle name="Followed Hyperlink" xfId="330" builtinId="9" hidden="1"/>
    <cellStyle name="Followed Hyperlink" xfId="338" builtinId="9" hidden="1"/>
    <cellStyle name="Followed Hyperlink" xfId="346" builtinId="9" hidden="1"/>
    <cellStyle name="Followed Hyperlink" xfId="354" builtinId="9" hidden="1"/>
    <cellStyle name="Followed Hyperlink" xfId="362" builtinId="9" hidden="1"/>
    <cellStyle name="Followed Hyperlink" xfId="370" builtinId="9" hidden="1"/>
    <cellStyle name="Followed Hyperlink" xfId="378" builtinId="9" hidden="1"/>
    <cellStyle name="Followed Hyperlink" xfId="386" builtinId="9" hidden="1"/>
    <cellStyle name="Followed Hyperlink" xfId="394" builtinId="9" hidden="1"/>
    <cellStyle name="Followed Hyperlink" xfId="402" builtinId="9" hidden="1"/>
    <cellStyle name="Followed Hyperlink" xfId="410" builtinId="9" hidden="1"/>
    <cellStyle name="Followed Hyperlink" xfId="418" builtinId="9" hidden="1"/>
    <cellStyle name="Followed Hyperlink" xfId="426" builtinId="9" hidden="1"/>
    <cellStyle name="Followed Hyperlink" xfId="428" builtinId="9" hidden="1"/>
    <cellStyle name="Followed Hyperlink" xfId="420" builtinId="9" hidden="1"/>
    <cellStyle name="Followed Hyperlink" xfId="412" builtinId="9" hidden="1"/>
    <cellStyle name="Followed Hyperlink" xfId="404" builtinId="9" hidden="1"/>
    <cellStyle name="Followed Hyperlink" xfId="396" builtinId="9" hidden="1"/>
    <cellStyle name="Followed Hyperlink" xfId="388" builtinId="9" hidden="1"/>
    <cellStyle name="Followed Hyperlink" xfId="380" builtinId="9" hidden="1"/>
    <cellStyle name="Followed Hyperlink" xfId="372" builtinId="9" hidden="1"/>
    <cellStyle name="Followed Hyperlink" xfId="364" builtinId="9" hidden="1"/>
    <cellStyle name="Followed Hyperlink" xfId="356" builtinId="9" hidden="1"/>
    <cellStyle name="Followed Hyperlink" xfId="348" builtinId="9" hidden="1"/>
    <cellStyle name="Followed Hyperlink" xfId="340" builtinId="9" hidden="1"/>
    <cellStyle name="Followed Hyperlink" xfId="332" builtinId="9" hidden="1"/>
    <cellStyle name="Followed Hyperlink" xfId="324" builtinId="9" hidden="1"/>
    <cellStyle name="Followed Hyperlink" xfId="316" builtinId="9" hidden="1"/>
    <cellStyle name="Followed Hyperlink" xfId="308" builtinId="9" hidden="1"/>
    <cellStyle name="Followed Hyperlink" xfId="300" builtinId="9" hidden="1"/>
    <cellStyle name="Followed Hyperlink" xfId="292" builtinId="9" hidden="1"/>
    <cellStyle name="Followed Hyperlink" xfId="284" builtinId="9" hidden="1"/>
    <cellStyle name="Followed Hyperlink" xfId="276" builtinId="9" hidden="1"/>
    <cellStyle name="Followed Hyperlink" xfId="268" builtinId="9" hidden="1"/>
    <cellStyle name="Followed Hyperlink" xfId="260" builtinId="9" hidden="1"/>
    <cellStyle name="Followed Hyperlink" xfId="252" builtinId="9" hidden="1"/>
    <cellStyle name="Followed Hyperlink" xfId="244" builtinId="9" hidden="1"/>
    <cellStyle name="Followed Hyperlink" xfId="236" builtinId="9" hidden="1"/>
    <cellStyle name="Followed Hyperlink" xfId="228" builtinId="9" hidden="1"/>
    <cellStyle name="Followed Hyperlink" xfId="220" builtinId="9" hidden="1"/>
    <cellStyle name="Followed Hyperlink" xfId="212" builtinId="9" hidden="1"/>
    <cellStyle name="Followed Hyperlink" xfId="204" builtinId="9" hidden="1"/>
    <cellStyle name="Followed Hyperlink" xfId="196" builtinId="9" hidden="1"/>
    <cellStyle name="Followed Hyperlink" xfId="112" builtinId="9" hidden="1"/>
    <cellStyle name="Followed Hyperlink" xfId="116" builtinId="9" hidden="1"/>
    <cellStyle name="Followed Hyperlink" xfId="120" builtinId="9" hidden="1"/>
    <cellStyle name="Followed Hyperlink" xfId="128" builtinId="9" hidden="1"/>
    <cellStyle name="Followed Hyperlink" xfId="132" builtinId="9" hidden="1"/>
    <cellStyle name="Followed Hyperlink" xfId="136" builtinId="9" hidden="1"/>
    <cellStyle name="Followed Hyperlink" xfId="144" builtinId="9" hidden="1"/>
    <cellStyle name="Followed Hyperlink" xfId="148" builtinId="9" hidden="1"/>
    <cellStyle name="Followed Hyperlink" xfId="152" builtinId="9" hidden="1"/>
    <cellStyle name="Followed Hyperlink" xfId="160" builtinId="9" hidden="1"/>
    <cellStyle name="Followed Hyperlink" xfId="164" builtinId="9" hidden="1"/>
    <cellStyle name="Followed Hyperlink" xfId="168" builtinId="9" hidden="1"/>
    <cellStyle name="Followed Hyperlink" xfId="176" builtinId="9" hidden="1"/>
    <cellStyle name="Followed Hyperlink" xfId="180" builtinId="9" hidden="1"/>
    <cellStyle name="Followed Hyperlink" xfId="184" builtinId="9" hidden="1"/>
    <cellStyle name="Followed Hyperlink" xfId="192" builtinId="9" hidden="1"/>
    <cellStyle name="Followed Hyperlink" xfId="188" builtinId="9" hidden="1"/>
    <cellStyle name="Followed Hyperlink" xfId="172" builtinId="9" hidden="1"/>
    <cellStyle name="Followed Hyperlink" xfId="156" builtinId="9" hidden="1"/>
    <cellStyle name="Followed Hyperlink" xfId="140" builtinId="9" hidden="1"/>
    <cellStyle name="Followed Hyperlink" xfId="124" builtinId="9" hidden="1"/>
    <cellStyle name="Followed Hyperlink" xfId="108" builtinId="9" hidden="1"/>
    <cellStyle name="Followed Hyperlink" xfId="84" builtinId="9" hidden="1"/>
    <cellStyle name="Followed Hyperlink" xfId="88" builtinId="9" hidden="1"/>
    <cellStyle name="Followed Hyperlink" xfId="96" builtinId="9" hidden="1"/>
    <cellStyle name="Followed Hyperlink" xfId="100" builtinId="9" hidden="1"/>
    <cellStyle name="Followed Hyperlink" xfId="104" builtinId="9" hidden="1"/>
    <cellStyle name="Followed Hyperlink" xfId="92" builtinId="9" hidden="1"/>
    <cellStyle name="Followed Hyperlink" xfId="76" builtinId="9" hidden="1"/>
    <cellStyle name="Followed Hyperlink" xfId="80" builtinId="9" hidden="1"/>
    <cellStyle name="Followed Hyperlink" xfId="72" builtinId="9" hidden="1"/>
    <cellStyle name="Followed Hyperlink" xfId="68" builtinId="9" hidden="1"/>
    <cellStyle name="Hyperlink" xfId="393" builtinId="8" hidden="1"/>
    <cellStyle name="Hyperlink" xfId="399" builtinId="8" hidden="1"/>
    <cellStyle name="Hyperlink" xfId="401" builtinId="8" hidden="1"/>
    <cellStyle name="Hyperlink" xfId="405" builtinId="8" hidden="1"/>
    <cellStyle name="Hyperlink" xfId="409" builtinId="8" hidden="1"/>
    <cellStyle name="Hyperlink" xfId="413" builtinId="8" hidden="1"/>
    <cellStyle name="Hyperlink" xfId="415" builtinId="8" hidden="1"/>
    <cellStyle name="Hyperlink" xfId="421" builtinId="8" hidden="1"/>
    <cellStyle name="Hyperlink" xfId="423" builtinId="8" hidden="1"/>
    <cellStyle name="Hyperlink" xfId="425" builtinId="8" hidden="1"/>
    <cellStyle name="Hyperlink" xfId="427" builtinId="8" hidden="1"/>
    <cellStyle name="Hyperlink" xfId="419" builtinId="8" hidden="1"/>
    <cellStyle name="Hyperlink" xfId="411" builtinId="8" hidden="1"/>
    <cellStyle name="Hyperlink" xfId="395" builtinId="8" hidden="1"/>
    <cellStyle name="Hyperlink" xfId="387" builtinId="8" hidden="1"/>
    <cellStyle name="Hyperlink" xfId="379" builtinId="8" hidden="1"/>
    <cellStyle name="Hyperlink" xfId="363" builtinId="8" hidden="1"/>
    <cellStyle name="Hyperlink" xfId="355" builtinId="8" hidden="1"/>
    <cellStyle name="Hyperlink" xfId="347" builtinId="8" hidden="1"/>
    <cellStyle name="Hyperlink" xfId="331" builtinId="8" hidden="1"/>
    <cellStyle name="Hyperlink" xfId="323" builtinId="8" hidden="1"/>
    <cellStyle name="Hyperlink" xfId="315" builtinId="8" hidden="1"/>
    <cellStyle name="Hyperlink" xfId="299" builtinId="8" hidden="1"/>
    <cellStyle name="Hyperlink" xfId="291" builtinId="8" hidden="1"/>
    <cellStyle name="Hyperlink" xfId="283" builtinId="8" hidden="1"/>
    <cellStyle name="Hyperlink" xfId="267" builtinId="8" hidden="1"/>
    <cellStyle name="Hyperlink" xfId="259" builtinId="8" hidden="1"/>
    <cellStyle name="Hyperlink" xfId="251" builtinId="8" hidden="1"/>
    <cellStyle name="Hyperlink" xfId="235" builtinId="8" hidden="1"/>
    <cellStyle name="Hyperlink" xfId="227" builtinId="8" hidden="1"/>
    <cellStyle name="Hyperlink" xfId="219" builtinId="8" hidden="1"/>
    <cellStyle name="Hyperlink" xfId="203" builtinId="8" hidden="1"/>
    <cellStyle name="Hyperlink" xfId="195" builtinId="8" hidden="1"/>
    <cellStyle name="Hyperlink" xfId="187" builtinId="8" hidden="1"/>
    <cellStyle name="Hyperlink" xfId="171" builtinId="8" hidden="1"/>
    <cellStyle name="Hyperlink" xfId="73" builtinId="8" hidden="1"/>
    <cellStyle name="Hyperlink" xfId="75" builtinId="8" hidden="1"/>
    <cellStyle name="Hyperlink" xfId="79" builtinId="8" hidden="1"/>
    <cellStyle name="Hyperlink" xfId="81"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101" builtinId="8" hidden="1"/>
    <cellStyle name="Hyperlink" xfId="103" builtinId="8" hidden="1"/>
    <cellStyle name="Hyperlink" xfId="107" builtinId="8" hidden="1"/>
    <cellStyle name="Hyperlink" xfId="109" builtinId="8" hidden="1"/>
    <cellStyle name="Hyperlink" xfId="111"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43" builtinId="8" hidden="1"/>
    <cellStyle name="Hyperlink" xfId="145" builtinId="8" hidden="1"/>
    <cellStyle name="Hyperlink" xfId="149" builtinId="8" hidden="1"/>
    <cellStyle name="Hyperlink" xfId="153" builtinId="8" hidden="1"/>
    <cellStyle name="Hyperlink" xfId="155" builtinId="8" hidden="1"/>
    <cellStyle name="Hyperlink" xfId="157" builtinId="8" hidden="1"/>
    <cellStyle name="Hyperlink" xfId="161" builtinId="8" hidden="1"/>
    <cellStyle name="Hyperlink" xfId="165" builtinId="8" hidden="1"/>
    <cellStyle name="Hyperlink" xfId="167" builtinId="8" hidden="1"/>
    <cellStyle name="Hyperlink" xfId="147" builtinId="8" hidden="1"/>
    <cellStyle name="Hyperlink" xfId="131" builtinId="8" hidden="1"/>
    <cellStyle name="Hyperlink" xfId="115" builtinId="8" hidden="1"/>
    <cellStyle name="Hyperlink" xfId="83" builtinId="8" hidden="1"/>
    <cellStyle name="Hyperlink" xfId="33" builtinId="8" hidden="1"/>
    <cellStyle name="Hyperlink" xfId="37" builtinId="8" hidden="1"/>
    <cellStyle name="Hyperlink" xfId="41" builtinId="8" hidden="1"/>
    <cellStyle name="Hyperlink" xfId="43" builtinId="8" hidden="1"/>
    <cellStyle name="Hyperlink" xfId="45" builtinId="8" hidden="1"/>
    <cellStyle name="Hyperlink" xfId="49" builtinId="8" hidden="1"/>
    <cellStyle name="Hyperlink" xfId="51" builtinId="8" hidden="1"/>
    <cellStyle name="Hyperlink" xfId="53"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35" builtinId="8" hidden="1"/>
    <cellStyle name="Hyperlink" xfId="17" builtinId="8" hidden="1"/>
    <cellStyle name="Hyperlink" xfId="19" builtinId="8" hidden="1"/>
    <cellStyle name="Hyperlink" xfId="23" builtinId="8" hidden="1"/>
    <cellStyle name="Hyperlink" xfId="25" builtinId="8" hidden="1"/>
    <cellStyle name="Hyperlink" xfId="27" builtinId="8" hidden="1"/>
    <cellStyle name="Hyperlink" xfId="31" builtinId="8" hidden="1"/>
    <cellStyle name="Hyperlink" xfId="9" builtinId="8" hidden="1"/>
    <cellStyle name="Hyperlink" xfId="11" builtinId="8" hidden="1"/>
    <cellStyle name="Hyperlink" xfId="15" builtinId="8" hidden="1"/>
    <cellStyle name="Hyperlink" xfId="5" builtinId="8" hidden="1"/>
    <cellStyle name="Hyperlink" xfId="7" builtinId="8" hidden="1"/>
    <cellStyle name="Hyperlink" xfId="1" builtinId="8" hidden="1"/>
    <cellStyle name="Hyperlink" xfId="3" builtinId="8" hidden="1"/>
    <cellStyle name="Hyperlink" xfId="13" builtinId="8" hidden="1"/>
    <cellStyle name="Hyperlink" xfId="29" builtinId="8" hidden="1"/>
    <cellStyle name="Hyperlink" xfId="21" builtinId="8" hidden="1"/>
    <cellStyle name="Hyperlink" xfId="67" builtinId="8" hidden="1"/>
    <cellStyle name="Hyperlink" xfId="63" builtinId="8" hidden="1"/>
    <cellStyle name="Hyperlink" xfId="55" builtinId="8" hidden="1"/>
    <cellStyle name="Hyperlink" xfId="47" builtinId="8" hidden="1"/>
    <cellStyle name="Hyperlink" xfId="39" builtinId="8" hidden="1"/>
    <cellStyle name="Hyperlink" xfId="99" builtinId="8" hidden="1"/>
    <cellStyle name="Hyperlink" xfId="163" builtinId="8" hidden="1"/>
    <cellStyle name="Hyperlink" xfId="159" builtinId="8" hidden="1"/>
    <cellStyle name="Hyperlink" xfId="151" builtinId="8" hidden="1"/>
    <cellStyle name="Hyperlink" xfId="141" builtinId="8" hidden="1"/>
    <cellStyle name="Hyperlink" xfId="133" builtinId="8" hidden="1"/>
    <cellStyle name="Hyperlink" xfId="123" builtinId="8" hidden="1"/>
    <cellStyle name="Hyperlink" xfId="113" builtinId="8" hidden="1"/>
    <cellStyle name="Hyperlink" xfId="105" builtinId="8" hidden="1"/>
    <cellStyle name="Hyperlink" xfId="95" builtinId="8" hidden="1"/>
    <cellStyle name="Hyperlink" xfId="87" builtinId="8" hidden="1"/>
    <cellStyle name="Hyperlink" xfId="77" builtinId="8" hidden="1"/>
    <cellStyle name="Hyperlink" xfId="179" builtinId="8" hidden="1"/>
    <cellStyle name="Hyperlink" xfId="211" builtinId="8" hidden="1"/>
    <cellStyle name="Hyperlink" xfId="243" builtinId="8" hidden="1"/>
    <cellStyle name="Hyperlink" xfId="275" builtinId="8" hidden="1"/>
    <cellStyle name="Hyperlink" xfId="307" builtinId="8" hidden="1"/>
    <cellStyle name="Hyperlink" xfId="339" builtinId="8" hidden="1"/>
    <cellStyle name="Hyperlink" xfId="371" builtinId="8" hidden="1"/>
    <cellStyle name="Hyperlink" xfId="403" builtinId="8" hidden="1"/>
    <cellStyle name="Hyperlink" xfId="429" builtinId="8" hidden="1"/>
    <cellStyle name="Hyperlink" xfId="417" builtinId="8" hidden="1"/>
    <cellStyle name="Hyperlink" xfId="407" builtinId="8" hidden="1"/>
    <cellStyle name="Hyperlink" xfId="397" builtinId="8" hidden="1"/>
    <cellStyle name="Hyperlink" xfId="265" builtinId="8" hidden="1"/>
    <cellStyle name="Hyperlink" xfId="269" builtinId="8" hidden="1"/>
    <cellStyle name="Hyperlink" xfId="271" builtinId="8" hidden="1"/>
    <cellStyle name="Hyperlink" xfId="273" builtinId="8" hidden="1"/>
    <cellStyle name="Hyperlink" xfId="277" builtinId="8" hidden="1"/>
    <cellStyle name="Hyperlink" xfId="281" builtinId="8" hidden="1"/>
    <cellStyle name="Hyperlink" xfId="285" builtinId="8" hidden="1"/>
    <cellStyle name="Hyperlink" xfId="287" builtinId="8" hidden="1"/>
    <cellStyle name="Hyperlink" xfId="289" builtinId="8" hidden="1"/>
    <cellStyle name="Hyperlink" xfId="293" builtinId="8" hidden="1"/>
    <cellStyle name="Hyperlink" xfId="295" builtinId="8" hidden="1"/>
    <cellStyle name="Hyperlink" xfId="297" builtinId="8" hidden="1"/>
    <cellStyle name="Hyperlink" xfId="303" builtinId="8" hidden="1"/>
    <cellStyle name="Hyperlink" xfId="305" builtinId="8" hidden="1"/>
    <cellStyle name="Hyperlink" xfId="309" builtinId="8" hidden="1"/>
    <cellStyle name="Hyperlink" xfId="311" builtinId="8" hidden="1"/>
    <cellStyle name="Hyperlink" xfId="313" builtinId="8" hidden="1"/>
    <cellStyle name="Hyperlink" xfId="317" builtinId="8" hidden="1"/>
    <cellStyle name="Hyperlink" xfId="319" builtinId="8" hidden="1"/>
    <cellStyle name="Hyperlink" xfId="325" builtinId="8" hidden="1"/>
    <cellStyle name="Hyperlink" xfId="327" builtinId="8" hidden="1"/>
    <cellStyle name="Hyperlink" xfId="329" builtinId="8" hidden="1"/>
    <cellStyle name="Hyperlink" xfId="333" builtinId="8" hidden="1"/>
    <cellStyle name="Hyperlink" xfId="335" builtinId="8" hidden="1"/>
    <cellStyle name="Hyperlink" xfId="337" builtinId="8" hidden="1"/>
    <cellStyle name="Hyperlink" xfId="341" builtinId="8" hidden="1"/>
    <cellStyle name="Hyperlink" xfId="345" builtinId="8" hidden="1"/>
    <cellStyle name="Hyperlink" xfId="349" builtinId="8" hidden="1"/>
    <cellStyle name="Hyperlink" xfId="351" builtinId="8" hidden="1"/>
    <cellStyle name="Hyperlink" xfId="353" builtinId="8" hidden="1"/>
    <cellStyle name="Hyperlink" xfId="357" builtinId="8" hidden="1"/>
    <cellStyle name="Hyperlink" xfId="359" builtinId="8" hidden="1"/>
    <cellStyle name="Hyperlink" xfId="361" builtinId="8" hidden="1"/>
    <cellStyle name="Hyperlink" xfId="367" builtinId="8" hidden="1"/>
    <cellStyle name="Hyperlink" xfId="369" builtinId="8" hidden="1"/>
    <cellStyle name="Hyperlink" xfId="373" builtinId="8" hidden="1"/>
    <cellStyle name="Hyperlink" xfId="375" builtinId="8" hidden="1"/>
    <cellStyle name="Hyperlink" xfId="377" builtinId="8" hidden="1"/>
    <cellStyle name="Hyperlink" xfId="381" builtinId="8" hidden="1"/>
    <cellStyle name="Hyperlink" xfId="383" builtinId="8" hidden="1"/>
    <cellStyle name="Hyperlink" xfId="389" builtinId="8" hidden="1"/>
    <cellStyle name="Hyperlink" xfId="391" builtinId="8" hidden="1"/>
    <cellStyle name="Hyperlink" xfId="385" builtinId="8" hidden="1"/>
    <cellStyle name="Hyperlink" xfId="365" builtinId="8" hidden="1"/>
    <cellStyle name="Hyperlink" xfId="343" builtinId="8" hidden="1"/>
    <cellStyle name="Hyperlink" xfId="321" builtinId="8" hidden="1"/>
    <cellStyle name="Hyperlink" xfId="301" builtinId="8" hidden="1"/>
    <cellStyle name="Hyperlink" xfId="279" builtinId="8" hidden="1"/>
    <cellStyle name="Hyperlink" xfId="213"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61" builtinId="8" hidden="1"/>
    <cellStyle name="Hyperlink" xfId="263" builtinId="8" hidden="1"/>
    <cellStyle name="Hyperlink" xfId="257" builtinId="8" hidden="1"/>
    <cellStyle name="Hyperlink" xfId="215"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181" builtinId="8" hidden="1"/>
    <cellStyle name="Hyperlink" xfId="183" builtinId="8" hidden="1"/>
    <cellStyle name="Hyperlink" xfId="185" builtinId="8" hidden="1"/>
    <cellStyle name="Hyperlink" xfId="189" builtinId="8" hidden="1"/>
    <cellStyle name="Hyperlink" xfId="175" builtinId="8" hidden="1"/>
    <cellStyle name="Hyperlink" xfId="177" builtinId="8" hidden="1"/>
    <cellStyle name="Hyperlink" xfId="173" builtinId="8" hidden="1"/>
    <cellStyle name="Hyperlink" xfId="169" builtinId="8" hidden="1"/>
    <cellStyle name="Normal" xfId="0" builtinId="0"/>
  </cellStyles>
  <dxfs count="18">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rgb="FF0070C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6469D0-A69E-BC44-A6AC-515E44F42450}" name="Mapping" displayName="Mapping" ref="A4:M268" totalsRowShown="0" headerRowDxfId="17" dataDxfId="15" headerRowBorderDxfId="16" tableBorderDxfId="14" totalsRowBorderDxfId="13">
  <autoFilter ref="A4:M268" xr:uid="{EA3D9E11-7A4C-FB44-BA0F-70D4B488D90B}"/>
  <sortState xmlns:xlrd2="http://schemas.microsoft.com/office/spreadsheetml/2017/richdata2" ref="A5:M172">
    <sortCondition ref="A4:A172"/>
  </sortState>
  <tableColumns count="13">
    <tableColumn id="1" xr3:uid="{7C7B30F2-E6B3-6342-B419-5C6D097E513C}" name="Node" dataDxfId="12">
      <calculatedColumnFormula>'Node 6'!$D$5</calculatedColumnFormula>
    </tableColumn>
    <tableColumn id="9" xr3:uid="{CA66AC5A-44E9-9442-A2BF-33876E8022C7}" name="Row" dataDxfId="11">
      <calculatedColumnFormula>IF(A4&lt;&gt;A5,1,B4+1)</calculatedColumnFormula>
    </tableColumn>
    <tableColumn id="3" xr3:uid="{5D1A9CE5-9AA2-F04F-B325-B90A8F3D294B}" name="Module" dataDxfId="10"/>
    <tableColumn id="4" xr3:uid="{53C41D49-9EDC-8E4A-975E-6B7EF6F4EB4E}" name="Object Type" dataDxfId="9"/>
    <tableColumn id="7" xr3:uid="{9D669CA4-2BBA-9D44-9F13-EA28FAEB5E1A}" name="Node Type" dataDxfId="8"/>
    <tableColumn id="2" xr3:uid="{8020746B-30F1-4945-9F2C-984A8AF49AFD}" name="DIR" dataDxfId="7"/>
    <tableColumn id="10" xr3:uid="{05233805-2AE6-5541-BC5D-29F04705C1E6}" name="Node Pin Name" dataDxfId="6"/>
    <tableColumn id="8" xr3:uid="{FDE0DC7F-F217-274C-A451-BA752DE362BD}" name="Object Name" dataDxfId="5">
      <calculatedColumnFormula>'Node 1'!E17</calculatedColumnFormula>
    </tableColumn>
    <tableColumn id="13" xr3:uid="{02288D06-D24B-A749-96C5-7A4154A0C919}" name="System Pin Number" dataDxfId="4">
      <calculatedColumnFormula>VLOOKUP(Mapping[[#This Row],[Object Name]],PCB_PIN_TABLE,2, FALSE)</calculatedColumnFormula>
    </tableColumn>
    <tableColumn id="5" xr3:uid="{BD84E4E4-5ED2-7E4A-A82D-2C0AC49A5471}" name="CATS Object Name" dataDxfId="3">
      <calculatedColumnFormula>_xlfn.CONCAT(Mapping[[#This Row],[Module]], " ", Mapping[[#This Row],[Object Name]])</calculatedColumnFormula>
    </tableColumn>
    <tableColumn id="12" xr3:uid="{48566DE7-7464-A649-BB2C-D17C8A628E70}" name="JMRI Address" dataDxfId="2"/>
    <tableColumn id="6" xr3:uid="{C30AEBC5-BAFE-8849-ABF3-9EB84DCF2820}" name="DCC Address" dataDxfId="1"/>
    <tableColumn id="14" xr3:uid="{878A652C-10D4-974B-B057-61D3B6C4580E}"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D105-8707-E54C-8C08-E1B2CAC0E80D}">
  <dimension ref="A1:U29"/>
  <sheetViews>
    <sheetView zoomScale="210" zoomScaleNormal="210" workbookViewId="0">
      <selection activeCell="C11" sqref="C11"/>
    </sheetView>
  </sheetViews>
  <sheetFormatPr baseColWidth="10" defaultColWidth="11.5" defaultRowHeight="15" x14ac:dyDescent="0.2"/>
  <cols>
    <col min="1" max="1" width="27.6640625" customWidth="1"/>
    <col min="2" max="4" width="10.83203125" style="9"/>
    <col min="7" max="7" width="1.1640625" customWidth="1"/>
    <col min="10" max="10" width="21.33203125" customWidth="1"/>
    <col min="11" max="11" width="12.83203125" customWidth="1"/>
    <col min="12" max="12" width="8.1640625" customWidth="1"/>
    <col min="13" max="13" width="7.6640625" customWidth="1"/>
    <col min="14" max="14" width="11.5" customWidth="1"/>
    <col min="15" max="15" width="8.5" customWidth="1"/>
    <col min="16" max="16" width="8.6640625" customWidth="1"/>
    <col min="17" max="17" width="9.1640625" customWidth="1"/>
    <col min="18" max="18" width="9.5" customWidth="1"/>
    <col min="19" max="19" width="1.33203125" customWidth="1"/>
    <col min="20" max="20" width="23.1640625" customWidth="1"/>
    <col min="21" max="21" width="6.1640625" customWidth="1"/>
  </cols>
  <sheetData>
    <row r="1" spans="1:21" ht="24" x14ac:dyDescent="0.2">
      <c r="A1" s="347" t="s">
        <v>0</v>
      </c>
      <c r="B1" s="348"/>
      <c r="C1" s="348"/>
      <c r="D1" s="348"/>
      <c r="E1" s="348"/>
      <c r="F1" s="348"/>
      <c r="G1" s="348"/>
      <c r="H1" s="348"/>
      <c r="I1" s="348"/>
      <c r="J1" s="348"/>
      <c r="K1" s="348"/>
      <c r="L1" s="348"/>
      <c r="M1" s="348"/>
      <c r="N1" s="348"/>
      <c r="O1" s="348"/>
      <c r="P1" s="348"/>
      <c r="Q1" s="348"/>
      <c r="R1" s="348"/>
      <c r="S1" s="348"/>
      <c r="T1" s="348"/>
      <c r="U1" s="348"/>
    </row>
    <row r="2" spans="1:21" ht="30.75" customHeight="1" x14ac:dyDescent="0.2">
      <c r="A2" s="349" t="s">
        <v>1</v>
      </c>
      <c r="B2" s="350"/>
      <c r="C2" s="350"/>
      <c r="D2" s="350"/>
      <c r="E2" s="350"/>
      <c r="F2" s="350"/>
      <c r="G2" s="350"/>
      <c r="H2" s="350"/>
      <c r="I2" s="350"/>
      <c r="J2" s="350"/>
      <c r="K2" s="350"/>
      <c r="L2" s="350"/>
      <c r="M2" s="350"/>
      <c r="N2" s="350"/>
      <c r="O2" s="350"/>
      <c r="P2" s="350"/>
      <c r="Q2" s="350"/>
      <c r="R2" s="350"/>
      <c r="S2" s="350"/>
      <c r="T2" s="350"/>
      <c r="U2" s="350"/>
    </row>
    <row r="3" spans="1:21" ht="5.25" customHeight="1" thickBot="1" x14ac:dyDescent="0.25">
      <c r="A3" s="351"/>
      <c r="B3" s="351"/>
      <c r="C3" s="351"/>
      <c r="D3" s="351"/>
      <c r="E3" s="351"/>
      <c r="F3" s="351"/>
      <c r="G3" s="351"/>
      <c r="H3" s="351"/>
      <c r="I3" s="351"/>
      <c r="J3" s="351"/>
      <c r="K3" s="351"/>
      <c r="L3" s="351"/>
      <c r="M3" s="351"/>
      <c r="N3" s="351"/>
      <c r="O3" s="351"/>
      <c r="P3" s="351"/>
      <c r="Q3" s="351"/>
      <c r="R3" s="351"/>
      <c r="S3" s="351"/>
      <c r="T3" s="351"/>
      <c r="U3" s="351"/>
    </row>
    <row r="4" spans="1:21" s="32" customFormat="1" ht="17" thickBot="1" x14ac:dyDescent="0.25">
      <c r="A4" s="131" t="s">
        <v>2</v>
      </c>
      <c r="B4" s="128" t="s">
        <v>3</v>
      </c>
      <c r="C4" s="132" t="s">
        <v>4</v>
      </c>
      <c r="D4" s="175" t="s">
        <v>5</v>
      </c>
      <c r="E4" s="176" t="s">
        <v>3</v>
      </c>
      <c r="F4" s="177" t="s">
        <v>4</v>
      </c>
      <c r="H4" s="343" t="s">
        <v>6</v>
      </c>
      <c r="I4" s="344"/>
      <c r="J4" s="344"/>
      <c r="K4" s="344"/>
      <c r="L4" s="344"/>
      <c r="M4" s="344"/>
      <c r="N4" s="344"/>
      <c r="O4" s="345"/>
      <c r="P4" s="345"/>
      <c r="Q4" s="344"/>
      <c r="R4" s="346"/>
      <c r="T4" s="354" t="s">
        <v>7</v>
      </c>
      <c r="U4" s="355"/>
    </row>
    <row r="5" spans="1:21" ht="17" thickBot="1" x14ac:dyDescent="0.25">
      <c r="A5" s="152" t="s">
        <v>703</v>
      </c>
      <c r="B5" s="166">
        <v>4</v>
      </c>
      <c r="C5" s="167">
        <v>12</v>
      </c>
      <c r="D5" s="168">
        <f>B5+C5</f>
        <v>16</v>
      </c>
      <c r="E5" s="169">
        <f t="shared" ref="E5:F8" si="0">B5</f>
        <v>4</v>
      </c>
      <c r="F5" s="167">
        <f t="shared" si="0"/>
        <v>12</v>
      </c>
      <c r="H5" s="299" t="s">
        <v>9</v>
      </c>
      <c r="I5" s="299"/>
      <c r="J5" s="130" t="s">
        <v>248</v>
      </c>
      <c r="K5" s="299" t="s">
        <v>702</v>
      </c>
      <c r="L5" s="176" t="s">
        <v>3</v>
      </c>
      <c r="M5" s="178" t="s">
        <v>4</v>
      </c>
      <c r="N5" s="179" t="s">
        <v>5</v>
      </c>
      <c r="O5" s="176" t="s">
        <v>3</v>
      </c>
      <c r="P5" s="177" t="s">
        <v>4</v>
      </c>
      <c r="Q5" s="180" t="s">
        <v>3</v>
      </c>
      <c r="R5" s="177" t="s">
        <v>4</v>
      </c>
      <c r="T5" s="189" t="s">
        <v>503</v>
      </c>
      <c r="U5" s="190">
        <f>MAX(B5:B12)-U6</f>
        <v>8</v>
      </c>
    </row>
    <row r="6" spans="1:21" ht="16" thickBot="1" x14ac:dyDescent="0.25">
      <c r="A6" s="303" t="s">
        <v>704</v>
      </c>
      <c r="B6" s="162">
        <v>8</v>
      </c>
      <c r="C6" s="163">
        <v>24</v>
      </c>
      <c r="D6" s="164">
        <f>B6+C6</f>
        <v>32</v>
      </c>
      <c r="E6" s="165">
        <f t="shared" si="0"/>
        <v>8</v>
      </c>
      <c r="F6" s="163">
        <f t="shared" si="0"/>
        <v>24</v>
      </c>
      <c r="H6" s="341" t="s">
        <v>11</v>
      </c>
      <c r="I6" s="297" t="s">
        <v>12</v>
      </c>
      <c r="J6" s="153" t="s">
        <v>54</v>
      </c>
      <c r="K6" s="339">
        <f>SUM('Node 1'!P6:P11)</f>
        <v>14</v>
      </c>
      <c r="L6" s="181">
        <f>VLOOKUP(J6,BaseNodeIOTable,2,TRUE)</f>
        <v>4</v>
      </c>
      <c r="M6" s="182">
        <f>VLOOKUP(J6,BaseNodeIOTable,3,TRUE)</f>
        <v>12</v>
      </c>
      <c r="N6" s="183">
        <f t="shared" ref="N6:N9" si="1">L6+M6</f>
        <v>16</v>
      </c>
      <c r="O6" s="169">
        <f t="shared" ref="O6:P9" si="2">L6</f>
        <v>4</v>
      </c>
      <c r="P6" s="167">
        <f t="shared" si="2"/>
        <v>12</v>
      </c>
      <c r="Q6" s="184">
        <f>COUNTA('Node 1'!C17:C20)</f>
        <v>4</v>
      </c>
      <c r="R6" s="185"/>
      <c r="T6" s="191" t="s">
        <v>14</v>
      </c>
      <c r="U6" s="192">
        <v>2</v>
      </c>
    </row>
    <row r="7" spans="1:21" ht="16" thickBot="1" x14ac:dyDescent="0.25">
      <c r="A7" s="152" t="s">
        <v>705</v>
      </c>
      <c r="B7" s="166">
        <v>10</v>
      </c>
      <c r="C7" s="167">
        <v>17</v>
      </c>
      <c r="D7" s="168">
        <f>B7+C7</f>
        <v>27</v>
      </c>
      <c r="E7" s="169">
        <f t="shared" si="0"/>
        <v>10</v>
      </c>
      <c r="F7" s="167">
        <f t="shared" si="0"/>
        <v>17</v>
      </c>
      <c r="H7" s="342"/>
      <c r="I7" s="298" t="s">
        <v>16</v>
      </c>
      <c r="J7" s="153" t="s">
        <v>74</v>
      </c>
      <c r="K7" s="340"/>
      <c r="L7" s="173">
        <f>VLOOKUP(J7,IOXNodeIOTable,2,TRUE)</f>
        <v>0</v>
      </c>
      <c r="M7" s="186">
        <f>VLOOKUP(J7,IOXNodeIOTable,3,TRUE)</f>
        <v>0</v>
      </c>
      <c r="N7" s="187">
        <f t="shared" si="1"/>
        <v>0</v>
      </c>
      <c r="O7" s="173">
        <f t="shared" si="2"/>
        <v>0</v>
      </c>
      <c r="P7" s="174">
        <f t="shared" si="2"/>
        <v>0</v>
      </c>
      <c r="Q7" s="188"/>
      <c r="R7" s="174">
        <f>COUNTA('Node 1'!C21:C32)</f>
        <v>12</v>
      </c>
      <c r="T7" s="193" t="s">
        <v>18</v>
      </c>
      <c r="U7" s="194">
        <v>2</v>
      </c>
    </row>
    <row r="8" spans="1:21" ht="16" thickBot="1" x14ac:dyDescent="0.25">
      <c r="A8" s="152" t="s">
        <v>706</v>
      </c>
      <c r="B8" s="166">
        <v>10</v>
      </c>
      <c r="C8" s="167">
        <v>17</v>
      </c>
      <c r="D8" s="168">
        <f>B8+C8</f>
        <v>27</v>
      </c>
      <c r="E8" s="169">
        <f t="shared" si="0"/>
        <v>10</v>
      </c>
      <c r="F8" s="167">
        <f t="shared" si="0"/>
        <v>17</v>
      </c>
      <c r="H8" s="341" t="s">
        <v>20</v>
      </c>
      <c r="I8" s="297" t="s">
        <v>12</v>
      </c>
      <c r="J8" s="153" t="s">
        <v>13</v>
      </c>
      <c r="K8" s="339">
        <f>SUM('Node 2'!P6:P11)</f>
        <v>28</v>
      </c>
      <c r="L8" s="181">
        <f>VLOOKUP(J8,BaseNodeIOTable,2,TRUE)</f>
        <v>16</v>
      </c>
      <c r="M8" s="182">
        <f>VLOOKUP(J8,BaseNodeIOTable,3,TRUE)</f>
        <v>0</v>
      </c>
      <c r="N8" s="183">
        <f t="shared" si="1"/>
        <v>16</v>
      </c>
      <c r="O8" s="181">
        <f t="shared" si="2"/>
        <v>16</v>
      </c>
      <c r="P8" s="185">
        <f t="shared" si="2"/>
        <v>0</v>
      </c>
      <c r="Q8" s="184">
        <f>COUNTA('Node 2'!C17:C32)</f>
        <v>16</v>
      </c>
      <c r="R8" s="185"/>
      <c r="T8" s="193" t="s">
        <v>502</v>
      </c>
      <c r="U8" s="194">
        <v>2</v>
      </c>
    </row>
    <row r="9" spans="1:21" ht="16" thickBot="1" x14ac:dyDescent="0.25">
      <c r="A9" s="152" t="s">
        <v>707</v>
      </c>
      <c r="B9" s="166">
        <v>10</v>
      </c>
      <c r="C9" s="167">
        <v>26</v>
      </c>
      <c r="D9" s="168">
        <f t="shared" ref="D9:D12" si="3">B9+C9</f>
        <v>36</v>
      </c>
      <c r="E9" s="169">
        <f t="shared" ref="E9:F10" si="4">B9</f>
        <v>10</v>
      </c>
      <c r="F9" s="167">
        <f t="shared" si="4"/>
        <v>26</v>
      </c>
      <c r="H9" s="342"/>
      <c r="I9" s="298" t="s">
        <v>16</v>
      </c>
      <c r="J9" s="153" t="s">
        <v>17</v>
      </c>
      <c r="K9" s="340"/>
      <c r="L9" s="173">
        <f>VLOOKUP(J9,IOXNodeIOTable,2,TRUE)</f>
        <v>0</v>
      </c>
      <c r="M9" s="186">
        <f>VLOOKUP(J9,IOXNodeIOTable,3,TRUE)</f>
        <v>32</v>
      </c>
      <c r="N9" s="187">
        <f t="shared" si="1"/>
        <v>32</v>
      </c>
      <c r="O9" s="173">
        <f t="shared" si="2"/>
        <v>0</v>
      </c>
      <c r="P9" s="174">
        <f t="shared" si="2"/>
        <v>32</v>
      </c>
      <c r="Q9" s="188"/>
      <c r="R9" s="174">
        <f>COUNTA('Node 2'!C33:C64)</f>
        <v>32</v>
      </c>
      <c r="T9" s="191" t="s">
        <v>504</v>
      </c>
      <c r="U9" s="192">
        <f>MAX(C5:C12)</f>
        <v>26</v>
      </c>
    </row>
    <row r="10" spans="1:21" ht="16" thickBot="1" x14ac:dyDescent="0.25">
      <c r="A10" s="152" t="s">
        <v>708</v>
      </c>
      <c r="B10" s="166">
        <v>10</v>
      </c>
      <c r="C10" s="167">
        <v>26</v>
      </c>
      <c r="D10" s="168">
        <f t="shared" si="3"/>
        <v>36</v>
      </c>
      <c r="E10" s="169">
        <f t="shared" si="4"/>
        <v>10</v>
      </c>
      <c r="F10" s="167">
        <f t="shared" si="4"/>
        <v>26</v>
      </c>
      <c r="H10" s="341" t="s">
        <v>25</v>
      </c>
      <c r="I10" s="297" t="s">
        <v>12</v>
      </c>
      <c r="J10" s="153" t="s">
        <v>13</v>
      </c>
      <c r="K10" s="339">
        <f>SUM('Node 3'!P6:P11)</f>
        <v>23</v>
      </c>
      <c r="L10" s="181">
        <f>VLOOKUP(J10,BaseNodeIOTable,2,TRUE)</f>
        <v>16</v>
      </c>
      <c r="M10" s="182">
        <f>VLOOKUP(J10,BaseNodeIOTable,3,TRUE)</f>
        <v>0</v>
      </c>
      <c r="N10" s="183">
        <f t="shared" ref="N10:N15" si="5">L10+M10</f>
        <v>16</v>
      </c>
      <c r="O10" s="181">
        <f t="shared" ref="O10:O15" si="6">L10</f>
        <v>16</v>
      </c>
      <c r="P10" s="185">
        <f t="shared" ref="P10:P15" si="7">M10</f>
        <v>0</v>
      </c>
      <c r="Q10" s="184">
        <f>COUNTA('Node 3'!C17:C32)</f>
        <v>16</v>
      </c>
      <c r="R10" s="185"/>
      <c r="T10" s="195" t="s">
        <v>23</v>
      </c>
      <c r="U10" s="196">
        <v>4</v>
      </c>
    </row>
    <row r="11" spans="1:21" ht="16" thickBot="1" x14ac:dyDescent="0.25">
      <c r="A11" s="136" t="s">
        <v>709</v>
      </c>
      <c r="B11" s="166">
        <v>0</v>
      </c>
      <c r="C11" s="167">
        <v>0</v>
      </c>
      <c r="D11" s="168">
        <f t="shared" si="3"/>
        <v>0</v>
      </c>
      <c r="E11" s="169">
        <f t="shared" ref="E11:E12" si="8">B11</f>
        <v>0</v>
      </c>
      <c r="F11" s="167">
        <f t="shared" ref="F11:F12" si="9">C11</f>
        <v>0</v>
      </c>
      <c r="H11" s="342"/>
      <c r="I11" s="298" t="s">
        <v>16</v>
      </c>
      <c r="J11" s="153" t="s">
        <v>17</v>
      </c>
      <c r="K11" s="340"/>
      <c r="L11" s="173">
        <f>VLOOKUP(J11,IOXNodeIOTable,2,TRUE)</f>
        <v>0</v>
      </c>
      <c r="M11" s="186">
        <f>VLOOKUP(J11,IOXNodeIOTable,3,TRUE)</f>
        <v>32</v>
      </c>
      <c r="N11" s="187">
        <f t="shared" si="5"/>
        <v>32</v>
      </c>
      <c r="O11" s="173">
        <f t="shared" si="6"/>
        <v>0</v>
      </c>
      <c r="P11" s="174">
        <f t="shared" si="7"/>
        <v>32</v>
      </c>
      <c r="Q11" s="188"/>
      <c r="R11" s="174">
        <f>COUNTA('Node 3'!C35:C66)</f>
        <v>32</v>
      </c>
      <c r="T11" s="157" t="s">
        <v>27</v>
      </c>
      <c r="U11" s="158">
        <f>SUM(U5:U10)</f>
        <v>44</v>
      </c>
    </row>
    <row r="12" spans="1:21" ht="16" thickBot="1" x14ac:dyDescent="0.25">
      <c r="A12" s="152" t="s">
        <v>710</v>
      </c>
      <c r="B12" s="170">
        <v>0</v>
      </c>
      <c r="C12" s="171">
        <v>0</v>
      </c>
      <c r="D12" s="172">
        <f t="shared" si="3"/>
        <v>0</v>
      </c>
      <c r="E12" s="173">
        <f t="shared" si="8"/>
        <v>0</v>
      </c>
      <c r="F12" s="174">
        <f t="shared" si="9"/>
        <v>0</v>
      </c>
      <c r="H12" s="341" t="s">
        <v>498</v>
      </c>
      <c r="I12" s="297" t="s">
        <v>12</v>
      </c>
      <c r="J12" s="153" t="s">
        <v>13</v>
      </c>
      <c r="K12" s="339">
        <f>SUM('Node 4'!P6:P11)</f>
        <v>22</v>
      </c>
      <c r="L12" s="181">
        <f>VLOOKUP(J12,BaseNodeIOTable,2,TRUE)</f>
        <v>16</v>
      </c>
      <c r="M12" s="182">
        <f>VLOOKUP(J12,BaseNodeIOTable,3,TRUE)</f>
        <v>0</v>
      </c>
      <c r="N12" s="183">
        <f t="shared" si="5"/>
        <v>16</v>
      </c>
      <c r="O12" s="181">
        <f t="shared" si="6"/>
        <v>16</v>
      </c>
      <c r="P12" s="185">
        <f t="shared" si="7"/>
        <v>0</v>
      </c>
      <c r="Q12" s="184">
        <f>COUNTA('Node 4'!C17:C32)</f>
        <v>16</v>
      </c>
      <c r="R12" s="185"/>
    </row>
    <row r="13" spans="1:21" ht="16" thickBot="1" x14ac:dyDescent="0.25">
      <c r="A13" s="300" t="s">
        <v>29</v>
      </c>
      <c r="B13" s="304">
        <f>SUM(B5:B12)</f>
        <v>52</v>
      </c>
      <c r="C13" s="301">
        <f>SUM(C5:C12)</f>
        <v>122</v>
      </c>
      <c r="D13" s="305">
        <f>SUM(D5:D12)</f>
        <v>174</v>
      </c>
      <c r="E13" s="300">
        <f>SUM(E5:E12)</f>
        <v>52</v>
      </c>
      <c r="F13" s="302">
        <f>SUM(F5:F12)</f>
        <v>122</v>
      </c>
      <c r="H13" s="342"/>
      <c r="I13" s="298" t="s">
        <v>16</v>
      </c>
      <c r="J13" s="153" t="s">
        <v>17</v>
      </c>
      <c r="K13" s="340"/>
      <c r="L13" s="173">
        <f>VLOOKUP(J13,IOXNodeIOTable,2,TRUE)</f>
        <v>0</v>
      </c>
      <c r="M13" s="186">
        <f>VLOOKUP(J13,IOXNodeIOTable,3,TRUE)</f>
        <v>32</v>
      </c>
      <c r="N13" s="187">
        <f t="shared" si="5"/>
        <v>32</v>
      </c>
      <c r="O13" s="173">
        <f t="shared" si="6"/>
        <v>0</v>
      </c>
      <c r="P13" s="174">
        <f t="shared" si="7"/>
        <v>32</v>
      </c>
      <c r="Q13" s="188"/>
      <c r="R13" s="174">
        <f>COUNTA('Node 4'!C37:C68)</f>
        <v>32</v>
      </c>
    </row>
    <row r="14" spans="1:21" ht="16" thickBot="1" x14ac:dyDescent="0.25">
      <c r="A14" s="306" t="s">
        <v>701</v>
      </c>
      <c r="B14" s="243">
        <f>MAX(B5:B12)</f>
        <v>10</v>
      </c>
      <c r="C14" s="243">
        <f>MAX(C5:C12)</f>
        <v>26</v>
      </c>
      <c r="D14" s="243">
        <f>MAX(D5:D12)</f>
        <v>36</v>
      </c>
      <c r="E14" s="243">
        <f>MAX(E5:E12)</f>
        <v>10</v>
      </c>
      <c r="F14" s="307">
        <f>MAX(F5:F12)</f>
        <v>26</v>
      </c>
      <c r="H14" s="341" t="s">
        <v>499</v>
      </c>
      <c r="I14" s="297" t="s">
        <v>12</v>
      </c>
      <c r="J14" s="153" t="s">
        <v>13</v>
      </c>
      <c r="K14" s="339">
        <f>SUM('Node 5'!P6:P11)</f>
        <v>32</v>
      </c>
      <c r="L14" s="181">
        <f>VLOOKUP(J14,BaseNodeIOTable,2,TRUE)</f>
        <v>16</v>
      </c>
      <c r="M14" s="182">
        <f>VLOOKUP(J14,BaseNodeIOTable,3,TRUE)</f>
        <v>0</v>
      </c>
      <c r="N14" s="183">
        <f t="shared" si="5"/>
        <v>16</v>
      </c>
      <c r="O14" s="181">
        <f t="shared" si="6"/>
        <v>16</v>
      </c>
      <c r="P14" s="185">
        <f t="shared" si="7"/>
        <v>0</v>
      </c>
      <c r="Q14" s="184">
        <f>COUNTA('Node 5'!C17:C32)</f>
        <v>16</v>
      </c>
      <c r="R14" s="185"/>
    </row>
    <row r="15" spans="1:21" ht="16" thickBot="1" x14ac:dyDescent="0.25">
      <c r="H15" s="342"/>
      <c r="I15" s="298" t="s">
        <v>16</v>
      </c>
      <c r="J15" s="153" t="s">
        <v>17</v>
      </c>
      <c r="K15" s="340"/>
      <c r="L15" s="173">
        <f>VLOOKUP(J15,IOXNodeIOTable,2,TRUE)</f>
        <v>0</v>
      </c>
      <c r="M15" s="186">
        <f>VLOOKUP(J15,IOXNodeIOTable,3,TRUE)</f>
        <v>32</v>
      </c>
      <c r="N15" s="187">
        <f t="shared" si="5"/>
        <v>32</v>
      </c>
      <c r="O15" s="173">
        <f t="shared" si="6"/>
        <v>0</v>
      </c>
      <c r="P15" s="174">
        <f t="shared" si="7"/>
        <v>32</v>
      </c>
      <c r="Q15" s="188"/>
      <c r="R15" s="174">
        <f>COUNTA('Node 5'!C39:C70)</f>
        <v>32</v>
      </c>
    </row>
    <row r="16" spans="1:21" s="40" customFormat="1" x14ac:dyDescent="0.2">
      <c r="H16" s="352" t="s">
        <v>500</v>
      </c>
      <c r="I16" s="341" t="s">
        <v>26</v>
      </c>
      <c r="J16" s="339" t="s">
        <v>26</v>
      </c>
      <c r="K16" s="339">
        <f>SUM('Node 6'!P6:P11)</f>
        <v>32</v>
      </c>
      <c r="L16" s="357">
        <f>VLOOKUP(J16,BaseNodeIOTable,2,TRUE)</f>
        <v>24</v>
      </c>
      <c r="M16" s="359">
        <f>VLOOKUP(J16,BaseNodeIOTable,3,TRUE)</f>
        <v>48</v>
      </c>
      <c r="N16" s="361">
        <f>L16+M16</f>
        <v>72</v>
      </c>
      <c r="O16" s="357">
        <f>L16</f>
        <v>24</v>
      </c>
      <c r="P16" s="361">
        <f>M16</f>
        <v>48</v>
      </c>
      <c r="Q16" s="357">
        <f>COUNTA('Node 6'!C17:C40)</f>
        <v>24</v>
      </c>
      <c r="R16" s="361">
        <f>COUNTA('Node 6'!C41:C88)</f>
        <v>48</v>
      </c>
    </row>
    <row r="17" spans="2:18" s="40" customFormat="1" ht="16" thickBot="1" x14ac:dyDescent="0.25">
      <c r="H17" s="353"/>
      <c r="I17" s="356"/>
      <c r="J17" s="340"/>
      <c r="K17" s="340"/>
      <c r="L17" s="358"/>
      <c r="M17" s="360"/>
      <c r="N17" s="362"/>
      <c r="O17" s="358"/>
      <c r="P17" s="362"/>
      <c r="Q17" s="358"/>
      <c r="R17" s="362"/>
    </row>
    <row r="18" spans="2:18" s="40" customFormat="1" ht="16" thickBot="1" x14ac:dyDescent="0.25">
      <c r="N18" s="308" t="s">
        <v>28</v>
      </c>
      <c r="O18" s="235">
        <f>SUM(O6:O16)</f>
        <v>92</v>
      </c>
      <c r="P18" s="236">
        <f>SUM(P6:P16)</f>
        <v>188</v>
      </c>
      <c r="Q18" s="156">
        <f>SUM(Q6:Q16)</f>
        <v>92</v>
      </c>
      <c r="R18" s="236">
        <f>SUM(R6:R16)</f>
        <v>188</v>
      </c>
    </row>
    <row r="19" spans="2:18" s="40" customFormat="1" ht="16" thickBot="1" x14ac:dyDescent="0.25">
      <c r="N19" s="159" t="s">
        <v>30</v>
      </c>
      <c r="O19" s="160">
        <f>O18-E13</f>
        <v>40</v>
      </c>
      <c r="P19" s="161">
        <f>P18-F13</f>
        <v>66</v>
      </c>
      <c r="Q19" s="156" t="str">
        <f>IF(Q18=O18,"CFG OK","CFG ERR")</f>
        <v>CFG OK</v>
      </c>
      <c r="R19" s="236" t="str">
        <f>IF(R18=P18,"CFG OK","CFG ERR")</f>
        <v>CFG OK</v>
      </c>
    </row>
    <row r="20" spans="2:18" ht="16" thickBot="1" x14ac:dyDescent="0.25">
      <c r="N20" s="21"/>
      <c r="O20" s="154" t="str">
        <f>IF(O18&gt;=E13,"INS OK","MORE INS")</f>
        <v>INS OK</v>
      </c>
      <c r="P20" s="155" t="str">
        <f>IF(P18&gt;=F13,"OUTS OK","MORE OUTS")</f>
        <v>OUTS OK</v>
      </c>
      <c r="Q20" s="40"/>
      <c r="R20" s="40"/>
    </row>
    <row r="21" spans="2:18" s="40" customFormat="1" x14ac:dyDescent="0.2"/>
    <row r="23" spans="2:18" x14ac:dyDescent="0.2">
      <c r="C23" s="21"/>
      <c r="D23" s="21"/>
      <c r="E23" s="40"/>
      <c r="F23" s="40"/>
    </row>
    <row r="24" spans="2:18" x14ac:dyDescent="0.2">
      <c r="C24" s="21"/>
      <c r="D24" s="21"/>
      <c r="E24" s="40"/>
      <c r="F24" s="40"/>
    </row>
    <row r="25" spans="2:18" x14ac:dyDescent="0.2">
      <c r="C25" s="21"/>
      <c r="D25" s="21"/>
      <c r="E25" s="40"/>
      <c r="F25" s="40"/>
    </row>
    <row r="26" spans="2:18" x14ac:dyDescent="0.2">
      <c r="C26" s="21"/>
      <c r="D26" s="21"/>
      <c r="E26" s="40"/>
      <c r="F26" s="40"/>
    </row>
    <row r="27" spans="2:18" x14ac:dyDescent="0.2">
      <c r="B27" s="21"/>
      <c r="C27" s="21"/>
      <c r="D27" s="21"/>
      <c r="E27" s="40"/>
      <c r="F27" s="40"/>
    </row>
    <row r="28" spans="2:18" x14ac:dyDescent="0.2">
      <c r="D28" s="21"/>
      <c r="E28" s="40"/>
      <c r="F28" s="40"/>
    </row>
    <row r="29" spans="2:18" x14ac:dyDescent="0.2">
      <c r="D29" s="21"/>
      <c r="E29" s="40"/>
      <c r="F29" s="40"/>
    </row>
  </sheetData>
  <sortState xmlns:xlrd2="http://schemas.microsoft.com/office/spreadsheetml/2017/richdata2" ref="A5:F12">
    <sortCondition ref="A5:A12"/>
  </sortState>
  <mergeCells count="26">
    <mergeCell ref="A1:U1"/>
    <mergeCell ref="A2:U2"/>
    <mergeCell ref="A3:U3"/>
    <mergeCell ref="H16:H17"/>
    <mergeCell ref="T4:U4"/>
    <mergeCell ref="I16:I17"/>
    <mergeCell ref="J16:J17"/>
    <mergeCell ref="L16:L17"/>
    <mergeCell ref="M16:M17"/>
    <mergeCell ref="N16:N17"/>
    <mergeCell ref="O16:O17"/>
    <mergeCell ref="P16:P17"/>
    <mergeCell ref="Q16:Q17"/>
    <mergeCell ref="R16:R17"/>
    <mergeCell ref="H6:H7"/>
    <mergeCell ref="H8:H9"/>
    <mergeCell ref="K16:K17"/>
    <mergeCell ref="H10:H11"/>
    <mergeCell ref="H12:H13"/>
    <mergeCell ref="H14:H15"/>
    <mergeCell ref="H4:R4"/>
    <mergeCell ref="K6:K7"/>
    <mergeCell ref="K8:K9"/>
    <mergeCell ref="K10:K11"/>
    <mergeCell ref="K12:K13"/>
    <mergeCell ref="K14:K15"/>
  </mergeCells>
  <pageMargins left="0.7" right="0.7" top="0.75" bottom="0.75" header="0.3" footer="0.3"/>
  <ignoredErrors>
    <ignoredError sqref="L7:L9 M7:M9" formula="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BF16D5B-972D-4EA7-BCEB-6B94745C937A}">
          <x14:formula1>
            <xm:f>OFFSET('System Parameters'!$N$1, MATCH(I6,'System Parameters'!$N:$N,0)-1,1,COUNTIF('System Parameters'!$N:$N,I6),1)</xm:f>
          </x14:formula1>
          <xm:sqref>J6:J16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W64"/>
  <sheetViews>
    <sheetView zoomScale="128" zoomScaleNormal="128" zoomScalePageLayoutView="128" workbookViewId="0">
      <selection sqref="A1:AI1"/>
    </sheetView>
  </sheetViews>
  <sheetFormatPr baseColWidth="10" defaultColWidth="11.5" defaultRowHeight="15" x14ac:dyDescent="0.2"/>
  <cols>
    <col min="1" max="1" width="25.5" customWidth="1"/>
    <col min="2" max="3" width="8.6640625" style="9" customWidth="1"/>
    <col min="4" max="75" width="8.6640625" customWidth="1"/>
  </cols>
  <sheetData>
    <row r="1" spans="1:75" s="22" customFormat="1" ht="26" x14ac:dyDescent="0.3">
      <c r="A1" s="488" t="s">
        <v>256</v>
      </c>
      <c r="B1" s="488"/>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row>
    <row r="3" spans="1:75" s="8" customFormat="1" x14ac:dyDescent="0.2">
      <c r="A3" s="8" t="s">
        <v>6</v>
      </c>
      <c r="B3" s="8" t="s">
        <v>257</v>
      </c>
      <c r="C3" s="8" t="s">
        <v>258</v>
      </c>
      <c r="D3" s="8">
        <v>1</v>
      </c>
      <c r="E3" s="8">
        <v>2</v>
      </c>
      <c r="F3" s="8">
        <v>3</v>
      </c>
      <c r="G3" s="8">
        <v>4</v>
      </c>
      <c r="H3" s="8">
        <v>5</v>
      </c>
      <c r="I3" s="8">
        <v>6</v>
      </c>
      <c r="J3" s="8">
        <v>7</v>
      </c>
      <c r="K3" s="8">
        <v>8</v>
      </c>
      <c r="L3" s="8">
        <v>9</v>
      </c>
      <c r="M3" s="8">
        <v>10</v>
      </c>
      <c r="N3" s="8">
        <v>11</v>
      </c>
      <c r="O3" s="8">
        <v>12</v>
      </c>
      <c r="P3" s="8">
        <v>13</v>
      </c>
      <c r="Q3" s="8">
        <v>14</v>
      </c>
      <c r="R3" s="8">
        <v>15</v>
      </c>
      <c r="S3" s="8">
        <v>16</v>
      </c>
      <c r="T3" s="8">
        <v>17</v>
      </c>
      <c r="U3" s="8">
        <v>18</v>
      </c>
      <c r="V3" s="8">
        <v>19</v>
      </c>
      <c r="W3" s="8">
        <v>20</v>
      </c>
      <c r="X3" s="8">
        <v>21</v>
      </c>
      <c r="Y3" s="8">
        <v>22</v>
      </c>
      <c r="Z3" s="8">
        <v>23</v>
      </c>
      <c r="AA3" s="8">
        <v>24</v>
      </c>
      <c r="AB3" s="8">
        <v>25</v>
      </c>
      <c r="AC3" s="8">
        <v>26</v>
      </c>
      <c r="AD3" s="8">
        <v>27</v>
      </c>
      <c r="AE3" s="8">
        <v>28</v>
      </c>
      <c r="AF3" s="8">
        <v>29</v>
      </c>
      <c r="AG3" s="8">
        <v>30</v>
      </c>
      <c r="AH3" s="8">
        <v>31</v>
      </c>
      <c r="AI3" s="8">
        <v>32</v>
      </c>
      <c r="AJ3" s="8">
        <v>33</v>
      </c>
      <c r="AK3" s="8">
        <v>34</v>
      </c>
      <c r="AL3" s="8">
        <v>35</v>
      </c>
      <c r="AM3" s="8">
        <v>36</v>
      </c>
      <c r="AN3" s="8">
        <v>37</v>
      </c>
      <c r="AO3" s="8">
        <v>38</v>
      </c>
      <c r="AP3" s="8">
        <v>39</v>
      </c>
      <c r="AQ3" s="8">
        <v>40</v>
      </c>
      <c r="AR3" s="8">
        <v>41</v>
      </c>
      <c r="AS3" s="8">
        <v>42</v>
      </c>
      <c r="AT3" s="8">
        <v>43</v>
      </c>
      <c r="AU3" s="8">
        <v>44</v>
      </c>
      <c r="AV3" s="8">
        <v>45</v>
      </c>
      <c r="AW3" s="8">
        <v>46</v>
      </c>
      <c r="AX3" s="8">
        <v>47</v>
      </c>
      <c r="AY3" s="8">
        <v>48</v>
      </c>
      <c r="AZ3" s="8">
        <v>49</v>
      </c>
      <c r="BA3" s="8">
        <v>50</v>
      </c>
      <c r="BB3" s="8">
        <v>51</v>
      </c>
      <c r="BC3" s="8">
        <v>52</v>
      </c>
      <c r="BD3" s="8">
        <v>53</v>
      </c>
      <c r="BE3" s="8">
        <v>54</v>
      </c>
      <c r="BF3" s="8">
        <v>55</v>
      </c>
      <c r="BG3" s="8">
        <v>56</v>
      </c>
      <c r="BH3" s="8">
        <v>57</v>
      </c>
      <c r="BI3" s="8">
        <v>58</v>
      </c>
      <c r="BJ3" s="8">
        <v>59</v>
      </c>
      <c r="BK3" s="8">
        <v>60</v>
      </c>
      <c r="BL3" s="8">
        <v>61</v>
      </c>
      <c r="BM3" s="8">
        <v>62</v>
      </c>
      <c r="BN3" s="8">
        <v>63</v>
      </c>
      <c r="BO3" s="8">
        <v>64</v>
      </c>
      <c r="BP3" s="8">
        <v>65</v>
      </c>
      <c r="BQ3" s="8">
        <v>66</v>
      </c>
      <c r="BR3" s="8">
        <v>67</v>
      </c>
      <c r="BS3" s="8">
        <v>68</v>
      </c>
      <c r="BT3" s="8">
        <v>69</v>
      </c>
      <c r="BU3" s="8">
        <v>70</v>
      </c>
      <c r="BV3" s="8">
        <v>71</v>
      </c>
      <c r="BW3" s="8">
        <v>72</v>
      </c>
    </row>
    <row r="4" spans="1:75" x14ac:dyDescent="0.2">
      <c r="A4" t="s">
        <v>49</v>
      </c>
      <c r="B4" s="9">
        <v>6</v>
      </c>
      <c r="C4" s="9">
        <v>10</v>
      </c>
      <c r="D4" s="9" t="s">
        <v>76</v>
      </c>
      <c r="E4" s="9" t="s">
        <v>77</v>
      </c>
      <c r="F4" s="9" t="s">
        <v>78</v>
      </c>
      <c r="G4" s="9" t="s">
        <v>259</v>
      </c>
      <c r="H4" s="9" t="s">
        <v>260</v>
      </c>
      <c r="I4" s="9" t="s">
        <v>261</v>
      </c>
      <c r="J4" s="9" t="s">
        <v>262</v>
      </c>
      <c r="K4" s="9" t="s">
        <v>263</v>
      </c>
      <c r="L4" s="9" t="s">
        <v>264</v>
      </c>
      <c r="M4" s="9" t="s">
        <v>265</v>
      </c>
      <c r="N4" s="9" t="s">
        <v>266</v>
      </c>
      <c r="O4" s="9" t="s">
        <v>267</v>
      </c>
      <c r="P4" s="9" t="s">
        <v>268</v>
      </c>
      <c r="Q4" s="9" t="s">
        <v>269</v>
      </c>
      <c r="R4" s="9" t="s">
        <v>270</v>
      </c>
      <c r="S4" s="9" t="s">
        <v>271</v>
      </c>
      <c r="T4" s="9"/>
      <c r="U4" s="9"/>
      <c r="V4" s="9"/>
      <c r="W4" s="9"/>
      <c r="X4" s="9"/>
      <c r="Y4" s="9"/>
      <c r="Z4" s="9"/>
      <c r="AA4" s="9"/>
      <c r="AB4" s="9"/>
      <c r="AC4" s="9"/>
      <c r="AD4" s="9"/>
      <c r="AE4" s="9"/>
      <c r="AF4" s="9"/>
      <c r="AG4" s="9"/>
      <c r="AH4" s="9"/>
      <c r="AI4" s="9"/>
    </row>
    <row r="5" spans="1:75" x14ac:dyDescent="0.2">
      <c r="A5" t="s">
        <v>272</v>
      </c>
      <c r="B5" s="9">
        <v>12</v>
      </c>
      <c r="C5" s="9">
        <v>4</v>
      </c>
      <c r="D5" s="9" t="s">
        <v>78</v>
      </c>
      <c r="E5" s="9" t="s">
        <v>259</v>
      </c>
      <c r="F5" s="9" t="s">
        <v>260</v>
      </c>
      <c r="G5" s="9" t="s">
        <v>261</v>
      </c>
      <c r="H5" s="9" t="s">
        <v>273</v>
      </c>
      <c r="I5" s="9" t="s">
        <v>274</v>
      </c>
      <c r="J5" s="9" t="s">
        <v>275</v>
      </c>
      <c r="K5" s="9" t="s">
        <v>276</v>
      </c>
      <c r="L5" s="9" t="s">
        <v>266</v>
      </c>
      <c r="M5" s="9" t="s">
        <v>267</v>
      </c>
      <c r="N5" s="9" t="s">
        <v>268</v>
      </c>
      <c r="O5" s="9" t="s">
        <v>269</v>
      </c>
      <c r="P5" s="9" t="s">
        <v>270</v>
      </c>
      <c r="Q5" s="9" t="s">
        <v>271</v>
      </c>
      <c r="R5" s="9" t="s">
        <v>76</v>
      </c>
      <c r="S5" s="9" t="s">
        <v>77</v>
      </c>
      <c r="T5" s="9"/>
      <c r="U5" s="9"/>
      <c r="V5" s="9"/>
      <c r="W5" s="9"/>
      <c r="X5" s="9"/>
      <c r="Y5" s="9"/>
      <c r="Z5" s="9"/>
      <c r="AA5" s="9"/>
      <c r="AB5" s="9"/>
      <c r="AC5" s="9"/>
      <c r="AD5" s="9"/>
      <c r="AE5" s="9"/>
      <c r="AF5" s="9"/>
      <c r="AG5" s="9"/>
      <c r="AH5" s="9"/>
      <c r="AI5" s="9"/>
    </row>
    <row r="6" spans="1:75" x14ac:dyDescent="0.2">
      <c r="A6" t="s">
        <v>54</v>
      </c>
      <c r="B6" s="9">
        <v>4</v>
      </c>
      <c r="C6" s="9">
        <v>12</v>
      </c>
      <c r="D6" s="9" t="s">
        <v>78</v>
      </c>
      <c r="E6" s="9" t="s">
        <v>259</v>
      </c>
      <c r="F6" s="9" t="s">
        <v>260</v>
      </c>
      <c r="G6" s="9" t="s">
        <v>261</v>
      </c>
      <c r="H6" s="9" t="s">
        <v>273</v>
      </c>
      <c r="I6" s="9" t="s">
        <v>274</v>
      </c>
      <c r="J6" s="9" t="s">
        <v>275</v>
      </c>
      <c r="K6" s="9" t="s">
        <v>276</v>
      </c>
      <c r="L6" s="9" t="s">
        <v>266</v>
      </c>
      <c r="M6" s="9" t="s">
        <v>267</v>
      </c>
      <c r="N6" s="9" t="s">
        <v>268</v>
      </c>
      <c r="O6" s="9" t="s">
        <v>269</v>
      </c>
      <c r="P6" s="9" t="s">
        <v>270</v>
      </c>
      <c r="Q6" s="9" t="s">
        <v>271</v>
      </c>
      <c r="R6" s="9" t="s">
        <v>76</v>
      </c>
      <c r="S6" s="9" t="s">
        <v>77</v>
      </c>
      <c r="T6" s="9"/>
      <c r="U6" s="9"/>
      <c r="V6" s="9"/>
      <c r="W6" s="9"/>
      <c r="X6" s="9"/>
      <c r="Y6" s="9"/>
      <c r="Z6" s="9"/>
      <c r="AA6" s="9"/>
      <c r="AB6" s="9"/>
      <c r="AC6" s="9"/>
      <c r="AD6" s="9"/>
      <c r="AE6" s="9"/>
      <c r="AF6" s="9"/>
      <c r="AG6" s="9"/>
      <c r="AH6" s="9"/>
      <c r="AI6" s="9"/>
    </row>
    <row r="7" spans="1:75" x14ac:dyDescent="0.2">
      <c r="A7" t="s">
        <v>13</v>
      </c>
      <c r="B7" s="9">
        <v>16</v>
      </c>
      <c r="C7" s="9">
        <v>0</v>
      </c>
      <c r="D7" s="9" t="s">
        <v>273</v>
      </c>
      <c r="E7" s="9" t="s">
        <v>274</v>
      </c>
      <c r="F7" s="9" t="s">
        <v>275</v>
      </c>
      <c r="G7" s="9" t="s">
        <v>276</v>
      </c>
      <c r="H7" s="9" t="s">
        <v>266</v>
      </c>
      <c r="I7" s="9" t="s">
        <v>267</v>
      </c>
      <c r="J7" s="9" t="s">
        <v>268</v>
      </c>
      <c r="K7" s="9" t="s">
        <v>269</v>
      </c>
      <c r="L7" s="9" t="s">
        <v>270</v>
      </c>
      <c r="M7" s="9" t="s">
        <v>271</v>
      </c>
      <c r="N7" s="9" t="s">
        <v>76</v>
      </c>
      <c r="O7" s="9" t="s">
        <v>77</v>
      </c>
      <c r="P7" s="9" t="s">
        <v>78</v>
      </c>
      <c r="Q7" s="9" t="s">
        <v>259</v>
      </c>
      <c r="R7" s="9" t="s">
        <v>260</v>
      </c>
      <c r="S7" s="9" t="s">
        <v>261</v>
      </c>
      <c r="T7" s="9"/>
      <c r="U7" s="9"/>
      <c r="V7" s="9"/>
      <c r="W7" s="9"/>
      <c r="X7" s="9"/>
      <c r="Y7" s="9"/>
      <c r="Z7" s="9"/>
      <c r="AA7" s="9"/>
      <c r="AB7" s="9"/>
      <c r="AC7" s="9"/>
      <c r="AD7" s="9"/>
      <c r="AE7" s="9"/>
      <c r="AF7" s="9"/>
      <c r="AG7" s="9"/>
      <c r="AH7" s="9"/>
      <c r="AI7" s="9"/>
    </row>
    <row r="8" spans="1:75" x14ac:dyDescent="0.2">
      <c r="A8" t="s">
        <v>58</v>
      </c>
      <c r="B8" s="9">
        <v>0</v>
      </c>
      <c r="C8" s="9">
        <v>16</v>
      </c>
      <c r="D8" s="9" t="s">
        <v>273</v>
      </c>
      <c r="E8" s="9" t="s">
        <v>274</v>
      </c>
      <c r="F8" s="9" t="s">
        <v>275</v>
      </c>
      <c r="G8" s="9" t="s">
        <v>276</v>
      </c>
      <c r="H8" s="9" t="s">
        <v>266</v>
      </c>
      <c r="I8" s="9" t="s">
        <v>267</v>
      </c>
      <c r="J8" s="9" t="s">
        <v>268</v>
      </c>
      <c r="K8" s="9" t="s">
        <v>269</v>
      </c>
      <c r="L8" s="9" t="s">
        <v>270</v>
      </c>
      <c r="M8" s="9" t="s">
        <v>271</v>
      </c>
      <c r="N8" s="9" t="s">
        <v>76</v>
      </c>
      <c r="O8" s="9" t="s">
        <v>77</v>
      </c>
      <c r="P8" s="9" t="s">
        <v>78</v>
      </c>
      <c r="Q8" s="9" t="s">
        <v>259</v>
      </c>
      <c r="R8" s="9" t="s">
        <v>260</v>
      </c>
      <c r="S8" s="9" t="s">
        <v>261</v>
      </c>
      <c r="T8" s="9"/>
      <c r="U8" s="9"/>
      <c r="V8" s="9"/>
      <c r="W8" s="9"/>
      <c r="X8" s="9"/>
      <c r="Y8" s="9"/>
      <c r="Z8" s="9"/>
      <c r="AA8" s="9"/>
      <c r="AB8" s="9"/>
      <c r="AC8" s="9"/>
      <c r="AD8" s="9"/>
      <c r="AE8" s="9"/>
      <c r="AF8" s="9"/>
      <c r="AG8" s="9"/>
      <c r="AH8" s="9"/>
      <c r="AI8" s="9"/>
    </row>
    <row r="9" spans="1:75" x14ac:dyDescent="0.2">
      <c r="A9" t="s">
        <v>21</v>
      </c>
      <c r="B9" s="9">
        <v>8</v>
      </c>
      <c r="C9" s="9">
        <v>8</v>
      </c>
      <c r="D9" s="9" t="s">
        <v>273</v>
      </c>
      <c r="E9" s="9" t="s">
        <v>274</v>
      </c>
      <c r="F9" s="9" t="s">
        <v>275</v>
      </c>
      <c r="G9" s="9" t="s">
        <v>276</v>
      </c>
      <c r="H9" s="9" t="s">
        <v>266</v>
      </c>
      <c r="I9" s="9" t="s">
        <v>267</v>
      </c>
      <c r="J9" s="9" t="s">
        <v>268</v>
      </c>
      <c r="K9" s="9" t="s">
        <v>269</v>
      </c>
      <c r="L9" s="9" t="s">
        <v>270</v>
      </c>
      <c r="M9" s="9" t="s">
        <v>271</v>
      </c>
      <c r="N9" s="9" t="s">
        <v>76</v>
      </c>
      <c r="O9" s="9" t="s">
        <v>77</v>
      </c>
      <c r="P9" s="9" t="s">
        <v>78</v>
      </c>
      <c r="Q9" s="9" t="s">
        <v>259</v>
      </c>
      <c r="R9" s="9" t="s">
        <v>260</v>
      </c>
      <c r="S9" s="9" t="s">
        <v>261</v>
      </c>
      <c r="T9" s="9"/>
      <c r="U9" s="9"/>
      <c r="V9" s="9"/>
      <c r="W9" s="9"/>
      <c r="X9" s="9"/>
      <c r="Y9" s="9"/>
      <c r="Z9" s="9"/>
      <c r="AA9" s="9"/>
      <c r="AB9" s="9"/>
      <c r="AC9" s="9"/>
      <c r="AD9" s="9"/>
      <c r="AE9" s="9"/>
      <c r="AF9" s="9"/>
      <c r="AG9" s="9"/>
      <c r="AH9" s="9"/>
      <c r="AI9" s="9"/>
    </row>
    <row r="10" spans="1:75" x14ac:dyDescent="0.2">
      <c r="A10" t="s">
        <v>62</v>
      </c>
      <c r="B10" s="9">
        <v>8</v>
      </c>
      <c r="C10" s="9">
        <v>8</v>
      </c>
      <c r="D10" s="9" t="s">
        <v>270</v>
      </c>
      <c r="E10" s="9" t="s">
        <v>271</v>
      </c>
      <c r="F10" s="9" t="s">
        <v>76</v>
      </c>
      <c r="G10" s="9" t="s">
        <v>77</v>
      </c>
      <c r="H10" s="9" t="s">
        <v>78</v>
      </c>
      <c r="I10" s="9" t="s">
        <v>259</v>
      </c>
      <c r="J10" s="9" t="s">
        <v>260</v>
      </c>
      <c r="K10" s="9" t="s">
        <v>261</v>
      </c>
      <c r="L10" s="9" t="s">
        <v>273</v>
      </c>
      <c r="M10" s="9" t="s">
        <v>274</v>
      </c>
      <c r="N10" s="9" t="s">
        <v>275</v>
      </c>
      <c r="O10" s="9" t="s">
        <v>276</v>
      </c>
      <c r="P10" s="9" t="s">
        <v>266</v>
      </c>
      <c r="Q10" s="9" t="s">
        <v>267</v>
      </c>
      <c r="R10" s="9" t="s">
        <v>268</v>
      </c>
      <c r="S10" s="9" t="s">
        <v>269</v>
      </c>
      <c r="T10" s="9"/>
      <c r="U10" s="9"/>
      <c r="V10" s="9"/>
      <c r="W10" s="9"/>
      <c r="X10" s="9"/>
      <c r="Y10" s="9"/>
      <c r="Z10" s="9"/>
      <c r="AA10" s="9"/>
      <c r="AB10" s="9"/>
      <c r="AC10" s="9"/>
      <c r="AD10" s="9"/>
      <c r="AE10" s="9"/>
      <c r="AF10" s="9"/>
      <c r="AG10" s="9"/>
      <c r="AH10" s="9"/>
      <c r="AI10" s="9"/>
    </row>
    <row r="11" spans="1:75" x14ac:dyDescent="0.2">
      <c r="A11" t="s">
        <v>72</v>
      </c>
      <c r="B11" s="9">
        <v>5</v>
      </c>
      <c r="C11" s="9">
        <v>11</v>
      </c>
      <c r="D11" s="9" t="s">
        <v>77</v>
      </c>
      <c r="E11" s="9" t="s">
        <v>78</v>
      </c>
      <c r="F11" s="9" t="s">
        <v>259</v>
      </c>
      <c r="G11" s="9" t="s">
        <v>260</v>
      </c>
      <c r="H11" s="9" t="s">
        <v>261</v>
      </c>
      <c r="I11" s="9" t="s">
        <v>273</v>
      </c>
      <c r="J11" s="9" t="s">
        <v>274</v>
      </c>
      <c r="K11" s="9" t="s">
        <v>275</v>
      </c>
      <c r="L11" s="9" t="s">
        <v>276</v>
      </c>
      <c r="M11" s="9" t="s">
        <v>266</v>
      </c>
      <c r="N11" s="9" t="s">
        <v>267</v>
      </c>
      <c r="O11" s="9" t="s">
        <v>268</v>
      </c>
      <c r="P11" s="9" t="s">
        <v>269</v>
      </c>
      <c r="Q11" s="9" t="s">
        <v>270</v>
      </c>
      <c r="R11" s="9" t="s">
        <v>271</v>
      </c>
      <c r="S11" s="9" t="s">
        <v>76</v>
      </c>
      <c r="T11" s="9"/>
      <c r="U11" s="9"/>
      <c r="V11" s="9"/>
      <c r="W11" s="9"/>
      <c r="X11" s="9"/>
      <c r="Y11" s="9"/>
      <c r="Z11" s="9"/>
      <c r="AA11" s="9"/>
      <c r="AB11" s="9"/>
      <c r="AC11" s="9"/>
      <c r="AD11" s="9"/>
      <c r="AE11" s="9"/>
      <c r="AF11" s="9"/>
      <c r="AG11" s="9"/>
      <c r="AH11" s="9"/>
      <c r="AI11" s="9"/>
    </row>
    <row r="12" spans="1:75" x14ac:dyDescent="0.2">
      <c r="A12" t="s">
        <v>87</v>
      </c>
      <c r="B12" s="9">
        <v>5</v>
      </c>
      <c r="C12" s="9">
        <v>11</v>
      </c>
      <c r="D12" s="9" t="s">
        <v>77</v>
      </c>
      <c r="E12" s="9" t="s">
        <v>78</v>
      </c>
      <c r="F12" s="9" t="s">
        <v>259</v>
      </c>
      <c r="G12" s="9" t="s">
        <v>260</v>
      </c>
      <c r="H12" s="9" t="s">
        <v>261</v>
      </c>
      <c r="I12" s="9" t="s">
        <v>273</v>
      </c>
      <c r="J12" s="9" t="s">
        <v>274</v>
      </c>
      <c r="K12" s="9" t="s">
        <v>275</v>
      </c>
      <c r="L12" s="9" t="s">
        <v>276</v>
      </c>
      <c r="M12" s="9" t="s">
        <v>266</v>
      </c>
      <c r="N12" s="9" t="s">
        <v>267</v>
      </c>
      <c r="O12" s="9" t="s">
        <v>268</v>
      </c>
      <c r="P12" s="9" t="s">
        <v>269</v>
      </c>
      <c r="Q12" s="9" t="s">
        <v>270</v>
      </c>
      <c r="R12" s="9" t="s">
        <v>271</v>
      </c>
      <c r="S12" s="9" t="s">
        <v>76</v>
      </c>
      <c r="T12" s="9"/>
      <c r="U12" s="9"/>
      <c r="V12" s="9"/>
      <c r="W12" s="9"/>
      <c r="X12" s="9"/>
      <c r="Y12" s="9"/>
      <c r="Z12" s="9"/>
      <c r="AA12" s="9"/>
      <c r="AB12" s="9"/>
      <c r="AC12" s="9"/>
      <c r="AD12" s="9"/>
      <c r="AE12" s="9"/>
      <c r="AF12" s="9"/>
      <c r="AG12" s="9"/>
      <c r="AH12" s="9"/>
      <c r="AI12" s="9"/>
    </row>
    <row r="13" spans="1:75" x14ac:dyDescent="0.2">
      <c r="A13" t="s">
        <v>26</v>
      </c>
      <c r="B13" s="9">
        <v>24</v>
      </c>
      <c r="C13" s="9">
        <v>48</v>
      </c>
      <c r="D13" s="9" t="s">
        <v>277</v>
      </c>
      <c r="E13" s="9" t="s">
        <v>278</v>
      </c>
      <c r="F13" s="9" t="s">
        <v>279</v>
      </c>
      <c r="G13" s="9" t="s">
        <v>280</v>
      </c>
      <c r="H13" s="9" t="s">
        <v>281</v>
      </c>
      <c r="I13" s="9" t="s">
        <v>282</v>
      </c>
      <c r="J13" s="9" t="s">
        <v>283</v>
      </c>
      <c r="K13" s="9" t="s">
        <v>284</v>
      </c>
      <c r="L13" s="9" t="s">
        <v>285</v>
      </c>
      <c r="M13" s="9" t="s">
        <v>286</v>
      </c>
      <c r="N13" s="9" t="s">
        <v>287</v>
      </c>
      <c r="O13" s="9" t="s">
        <v>288</v>
      </c>
      <c r="P13" s="9" t="s">
        <v>289</v>
      </c>
      <c r="Q13" s="9" t="s">
        <v>290</v>
      </c>
      <c r="R13" s="9" t="s">
        <v>291</v>
      </c>
      <c r="S13" s="9" t="s">
        <v>292</v>
      </c>
      <c r="T13" s="9" t="s">
        <v>293</v>
      </c>
      <c r="U13" s="9" t="s">
        <v>294</v>
      </c>
      <c r="V13" s="9" t="s">
        <v>295</v>
      </c>
      <c r="W13" s="9" t="s">
        <v>296</v>
      </c>
      <c r="X13" s="9" t="s">
        <v>297</v>
      </c>
      <c r="Y13" s="9" t="s">
        <v>298</v>
      </c>
      <c r="Z13" s="9" t="s">
        <v>299</v>
      </c>
      <c r="AA13" s="9" t="s">
        <v>300</v>
      </c>
      <c r="AB13" s="9" t="s">
        <v>301</v>
      </c>
      <c r="AC13" s="9" t="s">
        <v>302</v>
      </c>
      <c r="AD13" s="9" t="s">
        <v>303</v>
      </c>
      <c r="AE13" s="9" t="s">
        <v>304</v>
      </c>
      <c r="AF13" s="9" t="s">
        <v>305</v>
      </c>
      <c r="AG13" s="9" t="s">
        <v>306</v>
      </c>
      <c r="AH13" s="9" t="s">
        <v>307</v>
      </c>
      <c r="AI13" s="9" t="s">
        <v>308</v>
      </c>
      <c r="AJ13" s="9" t="s">
        <v>309</v>
      </c>
      <c r="AK13" s="9" t="s">
        <v>310</v>
      </c>
      <c r="AL13" s="9" t="s">
        <v>311</v>
      </c>
      <c r="AM13" s="9" t="s">
        <v>312</v>
      </c>
      <c r="AN13" s="9" t="s">
        <v>313</v>
      </c>
      <c r="AO13" s="9" t="s">
        <v>314</v>
      </c>
      <c r="AP13" s="9" t="s">
        <v>315</v>
      </c>
      <c r="AQ13" s="9" t="s">
        <v>316</v>
      </c>
      <c r="AR13" s="9" t="s">
        <v>317</v>
      </c>
      <c r="AS13" s="9" t="s">
        <v>318</v>
      </c>
      <c r="AT13" s="9" t="s">
        <v>319</v>
      </c>
      <c r="AU13" s="9" t="s">
        <v>320</v>
      </c>
      <c r="AV13" s="9" t="s">
        <v>321</v>
      </c>
      <c r="AW13" s="9" t="s">
        <v>322</v>
      </c>
      <c r="AX13" s="9" t="s">
        <v>323</v>
      </c>
      <c r="AY13" s="9" t="s">
        <v>324</v>
      </c>
      <c r="AZ13" s="9" t="s">
        <v>325</v>
      </c>
      <c r="BA13" s="9" t="s">
        <v>326</v>
      </c>
      <c r="BB13" s="9" t="s">
        <v>327</v>
      </c>
      <c r="BC13" s="9" t="s">
        <v>328</v>
      </c>
      <c r="BD13" s="9" t="s">
        <v>329</v>
      </c>
      <c r="BE13" s="9" t="s">
        <v>330</v>
      </c>
      <c r="BF13" s="9" t="s">
        <v>331</v>
      </c>
      <c r="BG13" s="9" t="s">
        <v>332</v>
      </c>
      <c r="BH13" s="9" t="s">
        <v>333</v>
      </c>
      <c r="BI13" s="9" t="s">
        <v>334</v>
      </c>
      <c r="BJ13" s="9" t="s">
        <v>335</v>
      </c>
      <c r="BK13" s="9" t="s">
        <v>336</v>
      </c>
      <c r="BL13" s="9" t="s">
        <v>337</v>
      </c>
      <c r="BM13" s="9" t="s">
        <v>338</v>
      </c>
      <c r="BN13" s="9" t="s">
        <v>339</v>
      </c>
      <c r="BO13" s="9" t="s">
        <v>340</v>
      </c>
      <c r="BP13" s="9" t="s">
        <v>341</v>
      </c>
      <c r="BQ13" s="9" t="s">
        <v>342</v>
      </c>
      <c r="BR13" s="9" t="s">
        <v>343</v>
      </c>
      <c r="BS13" s="9" t="s">
        <v>344</v>
      </c>
      <c r="BT13" s="9" t="s">
        <v>345</v>
      </c>
      <c r="BU13" s="9" t="s">
        <v>346</v>
      </c>
      <c r="BV13" s="9" t="s">
        <v>347</v>
      </c>
      <c r="BW13" s="9" t="s">
        <v>348</v>
      </c>
    </row>
    <row r="14" spans="1:75" x14ac:dyDescent="0.2">
      <c r="A14" t="str">
        <f>"-"</f>
        <v>-</v>
      </c>
      <c r="B14" s="9">
        <v>0</v>
      </c>
      <c r="C14" s="9">
        <v>0</v>
      </c>
    </row>
    <row r="15" spans="1:75" x14ac:dyDescent="0.2">
      <c r="A15" t="s">
        <v>90</v>
      </c>
      <c r="B15" s="9">
        <v>16</v>
      </c>
      <c r="C15" s="9">
        <v>0</v>
      </c>
      <c r="D15" s="9" t="s">
        <v>349</v>
      </c>
      <c r="E15" s="9" t="s">
        <v>350</v>
      </c>
      <c r="F15" s="9" t="s">
        <v>351</v>
      </c>
      <c r="G15" s="9" t="s">
        <v>352</v>
      </c>
      <c r="H15" s="9" t="s">
        <v>353</v>
      </c>
      <c r="I15" s="9" t="s">
        <v>354</v>
      </c>
      <c r="J15" s="9" t="s">
        <v>355</v>
      </c>
      <c r="K15" s="9" t="s">
        <v>356</v>
      </c>
      <c r="L15" s="9" t="s">
        <v>357</v>
      </c>
      <c r="M15" s="9" t="s">
        <v>358</v>
      </c>
      <c r="N15" s="9" t="s">
        <v>359</v>
      </c>
      <c r="O15" s="9" t="s">
        <v>360</v>
      </c>
      <c r="P15" s="9" t="s">
        <v>361</v>
      </c>
      <c r="Q15" s="9" t="s">
        <v>362</v>
      </c>
      <c r="R15" s="9" t="s">
        <v>363</v>
      </c>
      <c r="S15" s="9" t="s">
        <v>364</v>
      </c>
      <c r="T15" s="9"/>
      <c r="U15" s="9"/>
      <c r="V15" s="9"/>
      <c r="W15" s="9"/>
      <c r="X15" s="9"/>
      <c r="Y15" s="9"/>
      <c r="Z15" s="9"/>
      <c r="AA15" s="9"/>
      <c r="AB15" s="9"/>
      <c r="AC15" s="9"/>
      <c r="AD15" s="9"/>
      <c r="AE15" s="9"/>
      <c r="AF15" s="9"/>
      <c r="AG15" s="9"/>
      <c r="AH15" s="9"/>
      <c r="AI15" s="9"/>
    </row>
    <row r="16" spans="1:75" x14ac:dyDescent="0.2">
      <c r="A16" t="s">
        <v>97</v>
      </c>
      <c r="B16" s="9">
        <v>16</v>
      </c>
      <c r="C16" s="9">
        <v>0</v>
      </c>
      <c r="D16" s="9" t="s">
        <v>349</v>
      </c>
      <c r="E16" s="9" t="s">
        <v>350</v>
      </c>
      <c r="F16" s="9" t="s">
        <v>351</v>
      </c>
      <c r="G16" s="9" t="s">
        <v>352</v>
      </c>
      <c r="H16" s="9" t="s">
        <v>353</v>
      </c>
      <c r="I16" s="9" t="s">
        <v>354</v>
      </c>
      <c r="J16" s="9" t="s">
        <v>355</v>
      </c>
      <c r="K16" s="9" t="s">
        <v>356</v>
      </c>
      <c r="L16" s="9" t="s">
        <v>357</v>
      </c>
      <c r="M16" s="9" t="s">
        <v>358</v>
      </c>
      <c r="N16" s="9" t="s">
        <v>359</v>
      </c>
      <c r="O16" s="9" t="s">
        <v>360</v>
      </c>
      <c r="P16" s="9" t="s">
        <v>361</v>
      </c>
      <c r="Q16" s="9" t="s">
        <v>362</v>
      </c>
      <c r="R16" s="9" t="s">
        <v>363</v>
      </c>
      <c r="S16" s="9" t="s">
        <v>364</v>
      </c>
      <c r="T16" s="9"/>
      <c r="U16" s="9"/>
      <c r="V16" s="9"/>
      <c r="W16" s="9"/>
      <c r="X16" s="9"/>
      <c r="Y16" s="9"/>
      <c r="Z16" s="9"/>
      <c r="AA16" s="9"/>
      <c r="AB16" s="9"/>
      <c r="AC16" s="9"/>
      <c r="AD16" s="9"/>
      <c r="AE16" s="9"/>
      <c r="AF16" s="9"/>
      <c r="AG16" s="9"/>
      <c r="AH16" s="9"/>
      <c r="AI16" s="9"/>
    </row>
    <row r="17" spans="1:35" x14ac:dyDescent="0.2">
      <c r="A17" t="s">
        <v>109</v>
      </c>
      <c r="B17" s="9">
        <v>16</v>
      </c>
      <c r="C17" s="9">
        <v>0</v>
      </c>
      <c r="D17" s="9" t="s">
        <v>349</v>
      </c>
      <c r="E17" s="9" t="s">
        <v>350</v>
      </c>
      <c r="F17" s="9" t="s">
        <v>351</v>
      </c>
      <c r="G17" s="9" t="s">
        <v>352</v>
      </c>
      <c r="H17" s="9" t="s">
        <v>353</v>
      </c>
      <c r="I17" s="9" t="s">
        <v>354</v>
      </c>
      <c r="J17" s="9" t="s">
        <v>355</v>
      </c>
      <c r="K17" s="9" t="s">
        <v>356</v>
      </c>
      <c r="L17" s="9" t="s">
        <v>357</v>
      </c>
      <c r="M17" s="9" t="s">
        <v>358</v>
      </c>
      <c r="N17" s="9" t="s">
        <v>359</v>
      </c>
      <c r="O17" s="9" t="s">
        <v>360</v>
      </c>
      <c r="P17" s="9" t="s">
        <v>361</v>
      </c>
      <c r="Q17" s="9" t="s">
        <v>362</v>
      </c>
      <c r="R17" s="9" t="s">
        <v>363</v>
      </c>
      <c r="S17" s="9" t="s">
        <v>364</v>
      </c>
      <c r="T17" s="9"/>
      <c r="U17" s="9"/>
      <c r="V17" s="9"/>
      <c r="W17" s="9"/>
      <c r="X17" s="9"/>
      <c r="Y17" s="9"/>
      <c r="Z17" s="9"/>
      <c r="AA17" s="9"/>
      <c r="AB17" s="9"/>
      <c r="AC17" s="9"/>
      <c r="AD17" s="9"/>
      <c r="AE17" s="9"/>
      <c r="AF17" s="9"/>
      <c r="AG17" s="9"/>
      <c r="AH17" s="9"/>
      <c r="AI17" s="9"/>
    </row>
    <row r="18" spans="1:35" x14ac:dyDescent="0.2">
      <c r="A18" t="s">
        <v>115</v>
      </c>
      <c r="B18" s="9">
        <v>16</v>
      </c>
      <c r="C18" s="9">
        <v>0</v>
      </c>
      <c r="D18" s="9" t="s">
        <v>349</v>
      </c>
      <c r="E18" s="9" t="s">
        <v>350</v>
      </c>
      <c r="F18" s="9" t="s">
        <v>351</v>
      </c>
      <c r="G18" s="9" t="s">
        <v>352</v>
      </c>
      <c r="H18" s="9" t="s">
        <v>353</v>
      </c>
      <c r="I18" s="9" t="s">
        <v>354</v>
      </c>
      <c r="J18" s="9" t="s">
        <v>355</v>
      </c>
      <c r="K18" s="9" t="s">
        <v>356</v>
      </c>
      <c r="L18" s="9" t="s">
        <v>357</v>
      </c>
      <c r="M18" s="9" t="s">
        <v>358</v>
      </c>
      <c r="N18" s="9" t="s">
        <v>359</v>
      </c>
      <c r="O18" s="9" t="s">
        <v>360</v>
      </c>
      <c r="P18" s="9" t="s">
        <v>361</v>
      </c>
      <c r="Q18" s="9" t="s">
        <v>362</v>
      </c>
      <c r="R18" s="9" t="s">
        <v>363</v>
      </c>
      <c r="S18" s="9" t="s">
        <v>364</v>
      </c>
      <c r="T18" s="9"/>
      <c r="U18" s="9"/>
      <c r="V18" s="9"/>
      <c r="W18" s="9"/>
      <c r="X18" s="9"/>
      <c r="Y18" s="9"/>
      <c r="Z18" s="9"/>
      <c r="AA18" s="9"/>
      <c r="AB18" s="9"/>
      <c r="AC18" s="9"/>
      <c r="AD18" s="9"/>
      <c r="AE18" s="9"/>
      <c r="AF18" s="9"/>
      <c r="AG18" s="9"/>
      <c r="AH18" s="9"/>
      <c r="AI18" s="9"/>
    </row>
    <row r="19" spans="1:35" x14ac:dyDescent="0.2">
      <c r="A19" t="s">
        <v>121</v>
      </c>
      <c r="B19" s="9">
        <v>16</v>
      </c>
      <c r="C19" s="9">
        <v>0</v>
      </c>
      <c r="D19" s="9" t="s">
        <v>349</v>
      </c>
      <c r="E19" s="9" t="s">
        <v>350</v>
      </c>
      <c r="F19" s="9" t="s">
        <v>351</v>
      </c>
      <c r="G19" s="9" t="s">
        <v>352</v>
      </c>
      <c r="H19" s="9" t="s">
        <v>353</v>
      </c>
      <c r="I19" s="9" t="s">
        <v>354</v>
      </c>
      <c r="J19" s="9" t="s">
        <v>355</v>
      </c>
      <c r="K19" s="9" t="s">
        <v>356</v>
      </c>
      <c r="L19" s="9" t="s">
        <v>357</v>
      </c>
      <c r="M19" s="9" t="s">
        <v>358</v>
      </c>
      <c r="N19" s="9" t="s">
        <v>359</v>
      </c>
      <c r="O19" s="9" t="s">
        <v>360</v>
      </c>
      <c r="P19" s="9" t="s">
        <v>361</v>
      </c>
      <c r="Q19" s="9" t="s">
        <v>362</v>
      </c>
      <c r="R19" s="9" t="s">
        <v>363</v>
      </c>
      <c r="S19" s="9" t="s">
        <v>364</v>
      </c>
      <c r="T19" s="9"/>
      <c r="U19" s="9"/>
      <c r="V19" s="9"/>
      <c r="W19" s="9"/>
      <c r="X19" s="9"/>
      <c r="Y19" s="9"/>
      <c r="Z19" s="9"/>
      <c r="AA19" s="9"/>
      <c r="AB19" s="9"/>
      <c r="AC19" s="9"/>
      <c r="AD19" s="9"/>
      <c r="AE19" s="9"/>
      <c r="AF19" s="9"/>
      <c r="AG19" s="9"/>
      <c r="AH19" s="9"/>
      <c r="AI19" s="9"/>
    </row>
    <row r="20" spans="1:35" x14ac:dyDescent="0.2">
      <c r="A20" t="s">
        <v>127</v>
      </c>
      <c r="B20" s="9">
        <v>16</v>
      </c>
      <c r="C20" s="9">
        <v>0</v>
      </c>
      <c r="D20" s="9" t="s">
        <v>349</v>
      </c>
      <c r="E20" s="9" t="s">
        <v>350</v>
      </c>
      <c r="F20" s="9" t="s">
        <v>351</v>
      </c>
      <c r="G20" s="9" t="s">
        <v>352</v>
      </c>
      <c r="H20" s="9" t="s">
        <v>353</v>
      </c>
      <c r="I20" s="9" t="s">
        <v>354</v>
      </c>
      <c r="J20" s="9" t="s">
        <v>355</v>
      </c>
      <c r="K20" s="9" t="s">
        <v>356</v>
      </c>
      <c r="L20" s="9" t="s">
        <v>357</v>
      </c>
      <c r="M20" s="9" t="s">
        <v>358</v>
      </c>
      <c r="N20" s="9" t="s">
        <v>359</v>
      </c>
      <c r="O20" s="9" t="s">
        <v>360</v>
      </c>
      <c r="P20" s="9" t="s">
        <v>361</v>
      </c>
      <c r="Q20" s="9" t="s">
        <v>362</v>
      </c>
      <c r="R20" s="9" t="s">
        <v>363</v>
      </c>
      <c r="S20" s="9" t="s">
        <v>364</v>
      </c>
      <c r="T20" s="9"/>
      <c r="U20" s="9"/>
      <c r="V20" s="9"/>
      <c r="W20" s="9"/>
      <c r="X20" s="9"/>
      <c r="Y20" s="9"/>
      <c r="Z20" s="9"/>
      <c r="AA20" s="9"/>
      <c r="AB20" s="9"/>
      <c r="AC20" s="9"/>
      <c r="AD20" s="9"/>
      <c r="AE20" s="9"/>
      <c r="AF20" s="9"/>
      <c r="AG20" s="9"/>
      <c r="AH20" s="9"/>
      <c r="AI20" s="9"/>
    </row>
    <row r="21" spans="1:35" x14ac:dyDescent="0.2">
      <c r="A21" t="s">
        <v>133</v>
      </c>
      <c r="B21" s="9">
        <v>16</v>
      </c>
      <c r="C21" s="9">
        <v>0</v>
      </c>
      <c r="D21" s="9" t="s">
        <v>349</v>
      </c>
      <c r="E21" s="9" t="s">
        <v>350</v>
      </c>
      <c r="F21" s="9" t="s">
        <v>351</v>
      </c>
      <c r="G21" s="9" t="s">
        <v>352</v>
      </c>
      <c r="H21" s="9" t="s">
        <v>353</v>
      </c>
      <c r="I21" s="9" t="s">
        <v>354</v>
      </c>
      <c r="J21" s="9" t="s">
        <v>355</v>
      </c>
      <c r="K21" s="9" t="s">
        <v>356</v>
      </c>
      <c r="L21" s="9" t="s">
        <v>357</v>
      </c>
      <c r="M21" s="9" t="s">
        <v>358</v>
      </c>
      <c r="N21" s="9" t="s">
        <v>359</v>
      </c>
      <c r="O21" s="9" t="s">
        <v>360</v>
      </c>
      <c r="P21" s="9" t="s">
        <v>361</v>
      </c>
      <c r="Q21" s="9" t="s">
        <v>362</v>
      </c>
      <c r="R21" s="9" t="s">
        <v>363</v>
      </c>
      <c r="S21" s="9" t="s">
        <v>364</v>
      </c>
      <c r="T21" s="9"/>
      <c r="U21" s="9"/>
      <c r="V21" s="9"/>
      <c r="W21" s="9"/>
      <c r="X21" s="9"/>
      <c r="Y21" s="9"/>
      <c r="Z21" s="9"/>
      <c r="AA21" s="9"/>
      <c r="AB21" s="9"/>
      <c r="AC21" s="9"/>
      <c r="AD21" s="9"/>
      <c r="AE21" s="9"/>
      <c r="AF21" s="9"/>
      <c r="AG21" s="9"/>
      <c r="AH21" s="9"/>
      <c r="AI21" s="9"/>
    </row>
    <row r="22" spans="1:35" x14ac:dyDescent="0.2">
      <c r="A22" t="s">
        <v>138</v>
      </c>
      <c r="B22" s="9">
        <v>16</v>
      </c>
      <c r="C22" s="9">
        <v>0</v>
      </c>
      <c r="D22" s="9" t="s">
        <v>349</v>
      </c>
      <c r="E22" s="9" t="s">
        <v>350</v>
      </c>
      <c r="F22" s="9" t="s">
        <v>351</v>
      </c>
      <c r="G22" s="9" t="s">
        <v>352</v>
      </c>
      <c r="H22" s="9" t="s">
        <v>353</v>
      </c>
      <c r="I22" s="9" t="s">
        <v>354</v>
      </c>
      <c r="J22" s="9" t="s">
        <v>355</v>
      </c>
      <c r="K22" s="9" t="s">
        <v>356</v>
      </c>
      <c r="L22" s="9" t="s">
        <v>357</v>
      </c>
      <c r="M22" s="9" t="s">
        <v>358</v>
      </c>
      <c r="N22" s="9" t="s">
        <v>359</v>
      </c>
      <c r="O22" s="9" t="s">
        <v>360</v>
      </c>
      <c r="P22" s="9" t="s">
        <v>361</v>
      </c>
      <c r="Q22" s="9" t="s">
        <v>362</v>
      </c>
      <c r="R22" s="9" t="s">
        <v>363</v>
      </c>
      <c r="S22" s="9" t="s">
        <v>364</v>
      </c>
      <c r="T22" s="9"/>
      <c r="U22" s="9"/>
      <c r="V22" s="9"/>
      <c r="W22" s="9"/>
      <c r="X22" s="9"/>
      <c r="Y22" s="9"/>
      <c r="Z22" s="9"/>
      <c r="AA22" s="9"/>
      <c r="AB22" s="9"/>
      <c r="AC22" s="9"/>
      <c r="AD22" s="9"/>
      <c r="AE22" s="9"/>
      <c r="AF22" s="9"/>
      <c r="AG22" s="9"/>
      <c r="AH22" s="9"/>
      <c r="AI22" s="9"/>
    </row>
    <row r="23" spans="1:35" x14ac:dyDescent="0.2">
      <c r="A23" t="s">
        <v>143</v>
      </c>
      <c r="B23" s="9">
        <v>0</v>
      </c>
      <c r="C23" s="9">
        <v>16</v>
      </c>
      <c r="D23" s="9" t="s">
        <v>349</v>
      </c>
      <c r="E23" s="9" t="s">
        <v>350</v>
      </c>
      <c r="F23" s="9" t="s">
        <v>351</v>
      </c>
      <c r="G23" s="9" t="s">
        <v>352</v>
      </c>
      <c r="H23" s="9" t="s">
        <v>353</v>
      </c>
      <c r="I23" s="9" t="s">
        <v>354</v>
      </c>
      <c r="J23" s="9" t="s">
        <v>355</v>
      </c>
      <c r="K23" s="9" t="s">
        <v>356</v>
      </c>
      <c r="L23" s="9" t="s">
        <v>357</v>
      </c>
      <c r="M23" s="9" t="s">
        <v>358</v>
      </c>
      <c r="N23" s="9" t="s">
        <v>359</v>
      </c>
      <c r="O23" s="9" t="s">
        <v>360</v>
      </c>
      <c r="P23" s="9" t="s">
        <v>361</v>
      </c>
      <c r="Q23" s="9" t="s">
        <v>362</v>
      </c>
      <c r="R23" s="9" t="s">
        <v>363</v>
      </c>
      <c r="S23" s="9" t="s">
        <v>364</v>
      </c>
      <c r="T23" s="9"/>
      <c r="U23" s="9"/>
      <c r="V23" s="9"/>
      <c r="W23" s="9"/>
      <c r="X23" s="9"/>
      <c r="Y23" s="9"/>
      <c r="Z23" s="9"/>
      <c r="AA23" s="9"/>
      <c r="AB23" s="9"/>
      <c r="AC23" s="9"/>
      <c r="AD23" s="9"/>
      <c r="AE23" s="9"/>
      <c r="AF23" s="9"/>
      <c r="AG23" s="9"/>
      <c r="AH23" s="9"/>
      <c r="AI23" s="9"/>
    </row>
    <row r="24" spans="1:35" x14ac:dyDescent="0.2">
      <c r="A24" t="s">
        <v>146</v>
      </c>
      <c r="B24" s="9">
        <v>0</v>
      </c>
      <c r="C24" s="9">
        <v>16</v>
      </c>
      <c r="D24" s="9" t="s">
        <v>349</v>
      </c>
      <c r="E24" s="9" t="s">
        <v>350</v>
      </c>
      <c r="F24" s="9" t="s">
        <v>351</v>
      </c>
      <c r="G24" s="9" t="s">
        <v>352</v>
      </c>
      <c r="H24" s="9" t="s">
        <v>353</v>
      </c>
      <c r="I24" s="9" t="s">
        <v>354</v>
      </c>
      <c r="J24" s="9" t="s">
        <v>355</v>
      </c>
      <c r="K24" s="9" t="s">
        <v>356</v>
      </c>
      <c r="L24" s="9" t="s">
        <v>357</v>
      </c>
      <c r="M24" s="9" t="s">
        <v>358</v>
      </c>
      <c r="N24" s="9" t="s">
        <v>359</v>
      </c>
      <c r="O24" s="9" t="s">
        <v>360</v>
      </c>
      <c r="P24" s="9" t="s">
        <v>361</v>
      </c>
      <c r="Q24" s="9" t="s">
        <v>362</v>
      </c>
      <c r="R24" s="9" t="s">
        <v>363</v>
      </c>
      <c r="S24" s="9" t="s">
        <v>364</v>
      </c>
      <c r="T24" s="9"/>
      <c r="U24" s="9"/>
      <c r="V24" s="9"/>
      <c r="W24" s="9"/>
      <c r="X24" s="9"/>
      <c r="Y24" s="9"/>
      <c r="Z24" s="9"/>
      <c r="AA24" s="9"/>
      <c r="AB24" s="9"/>
      <c r="AC24" s="9"/>
      <c r="AD24" s="9"/>
      <c r="AE24" s="9"/>
      <c r="AF24" s="9"/>
      <c r="AG24" s="9"/>
      <c r="AH24" s="9"/>
      <c r="AI24" s="9"/>
    </row>
    <row r="25" spans="1:35" x14ac:dyDescent="0.2">
      <c r="A25" t="s">
        <v>149</v>
      </c>
      <c r="B25" s="9">
        <v>0</v>
      </c>
      <c r="C25" s="9">
        <v>16</v>
      </c>
      <c r="D25" s="9" t="s">
        <v>349</v>
      </c>
      <c r="E25" s="9" t="s">
        <v>350</v>
      </c>
      <c r="F25" s="9" t="s">
        <v>351</v>
      </c>
      <c r="G25" s="9" t="s">
        <v>352</v>
      </c>
      <c r="H25" s="9" t="s">
        <v>353</v>
      </c>
      <c r="I25" s="9" t="s">
        <v>354</v>
      </c>
      <c r="J25" s="9" t="s">
        <v>355</v>
      </c>
      <c r="K25" s="9" t="s">
        <v>356</v>
      </c>
      <c r="L25" s="9" t="s">
        <v>357</v>
      </c>
      <c r="M25" s="9" t="s">
        <v>358</v>
      </c>
      <c r="N25" s="9" t="s">
        <v>359</v>
      </c>
      <c r="O25" s="9" t="s">
        <v>360</v>
      </c>
      <c r="P25" s="9" t="s">
        <v>361</v>
      </c>
      <c r="Q25" s="9" t="s">
        <v>362</v>
      </c>
      <c r="R25" s="9" t="s">
        <v>363</v>
      </c>
      <c r="S25" s="9" t="s">
        <v>364</v>
      </c>
      <c r="T25" s="9"/>
      <c r="U25" s="9"/>
      <c r="V25" s="9"/>
      <c r="W25" s="9"/>
      <c r="X25" s="9"/>
      <c r="Y25" s="9"/>
      <c r="Z25" s="9"/>
      <c r="AA25" s="9"/>
      <c r="AB25" s="9"/>
      <c r="AC25" s="9"/>
      <c r="AD25" s="9"/>
      <c r="AE25" s="9"/>
      <c r="AF25" s="9"/>
      <c r="AG25" s="9"/>
      <c r="AH25" s="9"/>
      <c r="AI25" s="9"/>
    </row>
    <row r="26" spans="1:35" x14ac:dyDescent="0.2">
      <c r="A26" t="s">
        <v>152</v>
      </c>
      <c r="B26" s="9">
        <v>0</v>
      </c>
      <c r="C26" s="9">
        <v>16</v>
      </c>
      <c r="D26" s="9" t="s">
        <v>349</v>
      </c>
      <c r="E26" s="9" t="s">
        <v>350</v>
      </c>
      <c r="F26" s="9" t="s">
        <v>351</v>
      </c>
      <c r="G26" s="9" t="s">
        <v>352</v>
      </c>
      <c r="H26" s="9" t="s">
        <v>353</v>
      </c>
      <c r="I26" s="9" t="s">
        <v>354</v>
      </c>
      <c r="J26" s="9" t="s">
        <v>355</v>
      </c>
      <c r="K26" s="9" t="s">
        <v>356</v>
      </c>
      <c r="L26" s="9" t="s">
        <v>357</v>
      </c>
      <c r="M26" s="9" t="s">
        <v>358</v>
      </c>
      <c r="N26" s="9" t="s">
        <v>359</v>
      </c>
      <c r="O26" s="9" t="s">
        <v>360</v>
      </c>
      <c r="P26" s="9" t="s">
        <v>361</v>
      </c>
      <c r="Q26" s="9" t="s">
        <v>362</v>
      </c>
      <c r="R26" s="9" t="s">
        <v>363</v>
      </c>
      <c r="S26" s="9" t="s">
        <v>364</v>
      </c>
      <c r="T26" s="9"/>
      <c r="U26" s="9"/>
      <c r="V26" s="9"/>
      <c r="W26" s="9"/>
      <c r="X26" s="9"/>
      <c r="Y26" s="9"/>
      <c r="Z26" s="9"/>
      <c r="AA26" s="9"/>
      <c r="AB26" s="9"/>
      <c r="AC26" s="9"/>
      <c r="AD26" s="9"/>
      <c r="AE26" s="9"/>
      <c r="AF26" s="9"/>
      <c r="AG26" s="9"/>
      <c r="AH26" s="9"/>
      <c r="AI26" s="9"/>
    </row>
    <row r="27" spans="1:35" x14ac:dyDescent="0.2">
      <c r="A27" t="s">
        <v>154</v>
      </c>
      <c r="B27" s="9">
        <v>0</v>
      </c>
      <c r="C27" s="9">
        <v>16</v>
      </c>
      <c r="D27" s="9" t="s">
        <v>349</v>
      </c>
      <c r="E27" s="9" t="s">
        <v>350</v>
      </c>
      <c r="F27" s="9" t="s">
        <v>351</v>
      </c>
      <c r="G27" s="9" t="s">
        <v>352</v>
      </c>
      <c r="H27" s="9" t="s">
        <v>353</v>
      </c>
      <c r="I27" s="9" t="s">
        <v>354</v>
      </c>
      <c r="J27" s="9" t="s">
        <v>355</v>
      </c>
      <c r="K27" s="9" t="s">
        <v>356</v>
      </c>
      <c r="L27" s="9" t="s">
        <v>357</v>
      </c>
      <c r="M27" s="9" t="s">
        <v>358</v>
      </c>
      <c r="N27" s="9" t="s">
        <v>359</v>
      </c>
      <c r="O27" s="9" t="s">
        <v>360</v>
      </c>
      <c r="P27" s="9" t="s">
        <v>361</v>
      </c>
      <c r="Q27" s="9" t="s">
        <v>362</v>
      </c>
      <c r="R27" s="9" t="s">
        <v>363</v>
      </c>
      <c r="S27" s="9" t="s">
        <v>364</v>
      </c>
      <c r="T27" s="9"/>
      <c r="U27" s="9"/>
      <c r="V27" s="9"/>
      <c r="W27" s="9"/>
      <c r="X27" s="9"/>
      <c r="Y27" s="9"/>
      <c r="Z27" s="9"/>
      <c r="AA27" s="9"/>
      <c r="AB27" s="9"/>
      <c r="AC27" s="9"/>
      <c r="AD27" s="9"/>
      <c r="AE27" s="9"/>
      <c r="AF27" s="9"/>
      <c r="AG27" s="9"/>
      <c r="AH27" s="9"/>
      <c r="AI27" s="9"/>
    </row>
    <row r="28" spans="1:35" x14ac:dyDescent="0.2">
      <c r="A28" t="s">
        <v>156</v>
      </c>
      <c r="B28" s="9">
        <v>0</v>
      </c>
      <c r="C28" s="9">
        <v>16</v>
      </c>
      <c r="D28" s="9" t="s">
        <v>349</v>
      </c>
      <c r="E28" s="9" t="s">
        <v>350</v>
      </c>
      <c r="F28" s="9" t="s">
        <v>351</v>
      </c>
      <c r="G28" s="9" t="s">
        <v>352</v>
      </c>
      <c r="H28" s="9" t="s">
        <v>353</v>
      </c>
      <c r="I28" s="9" t="s">
        <v>354</v>
      </c>
      <c r="J28" s="9" t="s">
        <v>355</v>
      </c>
      <c r="K28" s="9" t="s">
        <v>356</v>
      </c>
      <c r="L28" s="9" t="s">
        <v>357</v>
      </c>
      <c r="M28" s="9" t="s">
        <v>358</v>
      </c>
      <c r="N28" s="9" t="s">
        <v>359</v>
      </c>
      <c r="O28" s="9" t="s">
        <v>360</v>
      </c>
      <c r="P28" s="9" t="s">
        <v>361</v>
      </c>
      <c r="Q28" s="9" t="s">
        <v>362</v>
      </c>
      <c r="R28" s="9" t="s">
        <v>363</v>
      </c>
      <c r="S28" s="9" t="s">
        <v>364</v>
      </c>
      <c r="T28" s="9"/>
      <c r="U28" s="9"/>
      <c r="V28" s="9"/>
      <c r="W28" s="9"/>
      <c r="X28" s="9"/>
      <c r="Y28" s="9"/>
      <c r="Z28" s="9"/>
      <c r="AA28" s="9"/>
      <c r="AB28" s="9"/>
      <c r="AC28" s="9"/>
      <c r="AD28" s="9"/>
      <c r="AE28" s="9"/>
      <c r="AF28" s="9"/>
      <c r="AG28" s="9"/>
      <c r="AH28" s="9"/>
      <c r="AI28" s="9"/>
    </row>
    <row r="29" spans="1:35" x14ac:dyDescent="0.2">
      <c r="A29" t="s">
        <v>158</v>
      </c>
      <c r="B29" s="9">
        <v>0</v>
      </c>
      <c r="C29" s="9">
        <v>16</v>
      </c>
      <c r="D29" s="9" t="s">
        <v>349</v>
      </c>
      <c r="E29" s="9" t="s">
        <v>350</v>
      </c>
      <c r="F29" s="9" t="s">
        <v>351</v>
      </c>
      <c r="G29" s="9" t="s">
        <v>352</v>
      </c>
      <c r="H29" s="9" t="s">
        <v>353</v>
      </c>
      <c r="I29" s="9" t="s">
        <v>354</v>
      </c>
      <c r="J29" s="9" t="s">
        <v>355</v>
      </c>
      <c r="K29" s="9" t="s">
        <v>356</v>
      </c>
      <c r="L29" s="9" t="s">
        <v>357</v>
      </c>
      <c r="M29" s="9" t="s">
        <v>358</v>
      </c>
      <c r="N29" s="9" t="s">
        <v>359</v>
      </c>
      <c r="O29" s="9" t="s">
        <v>360</v>
      </c>
      <c r="P29" s="9" t="s">
        <v>361</v>
      </c>
      <c r="Q29" s="9" t="s">
        <v>362</v>
      </c>
      <c r="R29" s="9" t="s">
        <v>363</v>
      </c>
      <c r="S29" s="9" t="s">
        <v>364</v>
      </c>
      <c r="T29" s="9"/>
      <c r="U29" s="9"/>
      <c r="V29" s="9"/>
      <c r="W29" s="9"/>
      <c r="X29" s="9"/>
      <c r="Y29" s="9"/>
      <c r="Z29" s="9"/>
      <c r="AA29" s="9"/>
      <c r="AB29" s="9"/>
      <c r="AC29" s="9"/>
      <c r="AD29" s="9"/>
      <c r="AE29" s="9"/>
      <c r="AF29" s="9"/>
      <c r="AG29" s="9"/>
      <c r="AH29" s="9"/>
      <c r="AI29" s="9"/>
    </row>
    <row r="30" spans="1:35" x14ac:dyDescent="0.2">
      <c r="A30" t="s">
        <v>160</v>
      </c>
      <c r="B30" s="9">
        <v>0</v>
      </c>
      <c r="C30" s="9">
        <v>16</v>
      </c>
      <c r="D30" s="9" t="s">
        <v>349</v>
      </c>
      <c r="E30" s="9" t="s">
        <v>350</v>
      </c>
      <c r="F30" s="9" t="s">
        <v>351</v>
      </c>
      <c r="G30" s="9" t="s">
        <v>352</v>
      </c>
      <c r="H30" s="9" t="s">
        <v>353</v>
      </c>
      <c r="I30" s="9" t="s">
        <v>354</v>
      </c>
      <c r="J30" s="9" t="s">
        <v>355</v>
      </c>
      <c r="K30" s="9" t="s">
        <v>356</v>
      </c>
      <c r="L30" s="9" t="s">
        <v>357</v>
      </c>
      <c r="M30" s="9" t="s">
        <v>358</v>
      </c>
      <c r="N30" s="9" t="s">
        <v>359</v>
      </c>
      <c r="O30" s="9" t="s">
        <v>360</v>
      </c>
      <c r="P30" s="9" t="s">
        <v>361</v>
      </c>
      <c r="Q30" s="9" t="s">
        <v>362</v>
      </c>
      <c r="R30" s="9" t="s">
        <v>363</v>
      </c>
      <c r="S30" s="9" t="s">
        <v>364</v>
      </c>
      <c r="T30" s="9"/>
      <c r="U30" s="9"/>
      <c r="V30" s="9"/>
      <c r="W30" s="9"/>
      <c r="X30" s="9"/>
      <c r="Y30" s="9"/>
      <c r="Z30" s="9"/>
      <c r="AA30" s="9"/>
      <c r="AB30" s="9"/>
      <c r="AC30" s="9"/>
      <c r="AD30" s="9"/>
      <c r="AE30" s="9"/>
      <c r="AF30" s="9"/>
      <c r="AG30" s="9"/>
      <c r="AH30" s="9"/>
      <c r="AI30" s="9"/>
    </row>
    <row r="31" spans="1:35" x14ac:dyDescent="0.2">
      <c r="A31" t="s">
        <v>162</v>
      </c>
      <c r="B31" s="9">
        <v>8</v>
      </c>
      <c r="C31" s="9">
        <v>8</v>
      </c>
      <c r="D31" s="9" t="s">
        <v>349</v>
      </c>
      <c r="E31" s="9" t="s">
        <v>350</v>
      </c>
      <c r="F31" s="9" t="s">
        <v>351</v>
      </c>
      <c r="G31" s="9" t="s">
        <v>352</v>
      </c>
      <c r="H31" s="9" t="s">
        <v>353</v>
      </c>
      <c r="I31" s="9" t="s">
        <v>354</v>
      </c>
      <c r="J31" s="9" t="s">
        <v>355</v>
      </c>
      <c r="K31" s="9" t="s">
        <v>356</v>
      </c>
      <c r="L31" s="9" t="s">
        <v>357</v>
      </c>
      <c r="M31" s="9" t="s">
        <v>358</v>
      </c>
      <c r="N31" s="9" t="s">
        <v>359</v>
      </c>
      <c r="O31" s="9" t="s">
        <v>360</v>
      </c>
      <c r="P31" s="9" t="s">
        <v>361</v>
      </c>
      <c r="Q31" s="9" t="s">
        <v>362</v>
      </c>
      <c r="R31" s="9" t="s">
        <v>363</v>
      </c>
      <c r="S31" s="9" t="s">
        <v>364</v>
      </c>
      <c r="T31" s="9"/>
      <c r="U31" s="9"/>
      <c r="V31" s="9"/>
      <c r="W31" s="9"/>
      <c r="X31" s="9"/>
      <c r="Y31" s="9"/>
      <c r="Z31" s="9"/>
      <c r="AA31" s="9"/>
      <c r="AB31" s="9"/>
      <c r="AC31" s="9"/>
      <c r="AD31" s="9"/>
      <c r="AE31" s="9"/>
      <c r="AF31" s="9"/>
      <c r="AG31" s="9"/>
      <c r="AH31" s="9"/>
      <c r="AI31" s="9"/>
    </row>
    <row r="32" spans="1:35" x14ac:dyDescent="0.2">
      <c r="A32" t="s">
        <v>164</v>
      </c>
      <c r="B32" s="9">
        <v>8</v>
      </c>
      <c r="C32" s="9">
        <v>8</v>
      </c>
      <c r="D32" s="9" t="s">
        <v>349</v>
      </c>
      <c r="E32" s="9" t="s">
        <v>350</v>
      </c>
      <c r="F32" s="9" t="s">
        <v>351</v>
      </c>
      <c r="G32" s="9" t="s">
        <v>352</v>
      </c>
      <c r="H32" s="9" t="s">
        <v>353</v>
      </c>
      <c r="I32" s="9" t="s">
        <v>354</v>
      </c>
      <c r="J32" s="9" t="s">
        <v>355</v>
      </c>
      <c r="K32" s="9" t="s">
        <v>356</v>
      </c>
      <c r="L32" s="9" t="s">
        <v>357</v>
      </c>
      <c r="M32" s="9" t="s">
        <v>358</v>
      </c>
      <c r="N32" s="9" t="s">
        <v>359</v>
      </c>
      <c r="O32" s="9" t="s">
        <v>360</v>
      </c>
      <c r="P32" s="9" t="s">
        <v>361</v>
      </c>
      <c r="Q32" s="9" t="s">
        <v>362</v>
      </c>
      <c r="R32" s="9" t="s">
        <v>363</v>
      </c>
      <c r="S32" s="9" t="s">
        <v>364</v>
      </c>
      <c r="T32" s="9"/>
      <c r="U32" s="9"/>
      <c r="V32" s="9"/>
      <c r="W32" s="9"/>
      <c r="X32" s="9"/>
      <c r="Y32" s="9"/>
      <c r="Z32" s="9"/>
      <c r="AA32" s="9"/>
      <c r="AB32" s="9"/>
      <c r="AC32" s="9"/>
      <c r="AD32" s="9"/>
      <c r="AE32" s="9"/>
      <c r="AF32" s="9"/>
      <c r="AG32" s="9"/>
      <c r="AH32" s="9"/>
      <c r="AI32" s="9"/>
    </row>
    <row r="33" spans="1:35" x14ac:dyDescent="0.2">
      <c r="A33" t="s">
        <v>165</v>
      </c>
      <c r="B33" s="9">
        <v>8</v>
      </c>
      <c r="C33" s="9">
        <v>8</v>
      </c>
      <c r="D33" s="9" t="s">
        <v>349</v>
      </c>
      <c r="E33" s="9" t="s">
        <v>350</v>
      </c>
      <c r="F33" s="9" t="s">
        <v>351</v>
      </c>
      <c r="G33" s="9" t="s">
        <v>352</v>
      </c>
      <c r="H33" s="9" t="s">
        <v>353</v>
      </c>
      <c r="I33" s="9" t="s">
        <v>354</v>
      </c>
      <c r="J33" s="9" t="s">
        <v>355</v>
      </c>
      <c r="K33" s="9" t="s">
        <v>356</v>
      </c>
      <c r="L33" s="9" t="s">
        <v>357</v>
      </c>
      <c r="M33" s="9" t="s">
        <v>358</v>
      </c>
      <c r="N33" s="9" t="s">
        <v>359</v>
      </c>
      <c r="O33" s="9" t="s">
        <v>360</v>
      </c>
      <c r="P33" s="9" t="s">
        <v>361</v>
      </c>
      <c r="Q33" s="9" t="s">
        <v>362</v>
      </c>
      <c r="R33" s="9" t="s">
        <v>363</v>
      </c>
      <c r="S33" s="9" t="s">
        <v>364</v>
      </c>
      <c r="T33" s="9"/>
      <c r="U33" s="9"/>
      <c r="V33" s="9"/>
      <c r="W33" s="9"/>
      <c r="X33" s="9"/>
      <c r="Y33" s="9"/>
      <c r="Z33" s="9"/>
      <c r="AA33" s="9"/>
      <c r="AB33" s="9"/>
      <c r="AC33" s="9"/>
      <c r="AD33" s="9"/>
      <c r="AE33" s="9"/>
      <c r="AF33" s="9"/>
      <c r="AG33" s="9"/>
      <c r="AH33" s="9"/>
      <c r="AI33" s="9"/>
    </row>
    <row r="34" spans="1:35" x14ac:dyDescent="0.2">
      <c r="A34" t="s">
        <v>166</v>
      </c>
      <c r="B34" s="9">
        <v>8</v>
      </c>
      <c r="C34" s="9">
        <v>8</v>
      </c>
      <c r="D34" s="9" t="s">
        <v>349</v>
      </c>
      <c r="E34" s="9" t="s">
        <v>350</v>
      </c>
      <c r="F34" s="9" t="s">
        <v>351</v>
      </c>
      <c r="G34" s="9" t="s">
        <v>352</v>
      </c>
      <c r="H34" s="9" t="s">
        <v>353</v>
      </c>
      <c r="I34" s="9" t="s">
        <v>354</v>
      </c>
      <c r="J34" s="9" t="s">
        <v>355</v>
      </c>
      <c r="K34" s="9" t="s">
        <v>356</v>
      </c>
      <c r="L34" s="9" t="s">
        <v>357</v>
      </c>
      <c r="M34" s="9" t="s">
        <v>358</v>
      </c>
      <c r="N34" s="9" t="s">
        <v>359</v>
      </c>
      <c r="O34" s="9" t="s">
        <v>360</v>
      </c>
      <c r="P34" s="9" t="s">
        <v>361</v>
      </c>
      <c r="Q34" s="9" t="s">
        <v>362</v>
      </c>
      <c r="R34" s="9" t="s">
        <v>363</v>
      </c>
      <c r="S34" s="9" t="s">
        <v>364</v>
      </c>
      <c r="T34" s="9"/>
      <c r="U34" s="9"/>
      <c r="V34" s="9"/>
      <c r="W34" s="9"/>
      <c r="X34" s="9"/>
      <c r="Y34" s="9"/>
      <c r="Z34" s="9"/>
      <c r="AA34" s="9"/>
      <c r="AB34" s="9"/>
      <c r="AC34" s="9"/>
      <c r="AD34" s="9"/>
      <c r="AE34" s="9"/>
      <c r="AF34" s="9"/>
      <c r="AG34" s="9"/>
      <c r="AH34" s="9"/>
      <c r="AI34" s="9"/>
    </row>
    <row r="35" spans="1:35" x14ac:dyDescent="0.2">
      <c r="A35" t="s">
        <v>167</v>
      </c>
      <c r="B35" s="9">
        <v>8</v>
      </c>
      <c r="C35" s="9">
        <v>8</v>
      </c>
      <c r="D35" s="9" t="s">
        <v>349</v>
      </c>
      <c r="E35" s="9" t="s">
        <v>350</v>
      </c>
      <c r="F35" s="9" t="s">
        <v>351</v>
      </c>
      <c r="G35" s="9" t="s">
        <v>352</v>
      </c>
      <c r="H35" s="9" t="s">
        <v>353</v>
      </c>
      <c r="I35" s="9" t="s">
        <v>354</v>
      </c>
      <c r="J35" s="9" t="s">
        <v>355</v>
      </c>
      <c r="K35" s="9" t="s">
        <v>356</v>
      </c>
      <c r="L35" s="9" t="s">
        <v>357</v>
      </c>
      <c r="M35" s="9" t="s">
        <v>358</v>
      </c>
      <c r="N35" s="9" t="s">
        <v>359</v>
      </c>
      <c r="O35" s="9" t="s">
        <v>360</v>
      </c>
      <c r="P35" s="9" t="s">
        <v>361</v>
      </c>
      <c r="Q35" s="9" t="s">
        <v>362</v>
      </c>
      <c r="R35" s="9" t="s">
        <v>363</v>
      </c>
      <c r="S35" s="9" t="s">
        <v>364</v>
      </c>
      <c r="T35" s="9"/>
      <c r="U35" s="9"/>
      <c r="V35" s="9"/>
      <c r="W35" s="9"/>
      <c r="X35" s="9"/>
      <c r="Y35" s="9"/>
      <c r="Z35" s="9"/>
      <c r="AA35" s="9"/>
      <c r="AB35" s="9"/>
      <c r="AC35" s="9"/>
      <c r="AD35" s="9"/>
      <c r="AE35" s="9"/>
      <c r="AF35" s="9"/>
      <c r="AG35" s="9"/>
      <c r="AH35" s="9"/>
      <c r="AI35" s="9"/>
    </row>
    <row r="36" spans="1:35" x14ac:dyDescent="0.2">
      <c r="A36" t="s">
        <v>169</v>
      </c>
      <c r="B36" s="9">
        <v>8</v>
      </c>
      <c r="C36" s="9">
        <v>8</v>
      </c>
      <c r="D36" s="9" t="s">
        <v>349</v>
      </c>
      <c r="E36" s="9" t="s">
        <v>350</v>
      </c>
      <c r="F36" s="9" t="s">
        <v>351</v>
      </c>
      <c r="G36" s="9" t="s">
        <v>352</v>
      </c>
      <c r="H36" s="9" t="s">
        <v>353</v>
      </c>
      <c r="I36" s="9" t="s">
        <v>354</v>
      </c>
      <c r="J36" s="9" t="s">
        <v>355</v>
      </c>
      <c r="K36" s="9" t="s">
        <v>356</v>
      </c>
      <c r="L36" s="9" t="s">
        <v>357</v>
      </c>
      <c r="M36" s="9" t="s">
        <v>358</v>
      </c>
      <c r="N36" s="9" t="s">
        <v>359</v>
      </c>
      <c r="O36" s="9" t="s">
        <v>360</v>
      </c>
      <c r="P36" s="9" t="s">
        <v>361</v>
      </c>
      <c r="Q36" s="9" t="s">
        <v>362</v>
      </c>
      <c r="R36" s="9" t="s">
        <v>363</v>
      </c>
      <c r="S36" s="9" t="s">
        <v>364</v>
      </c>
      <c r="T36" s="9"/>
      <c r="U36" s="9"/>
      <c r="V36" s="9"/>
      <c r="W36" s="9"/>
      <c r="X36" s="9"/>
      <c r="Y36" s="9"/>
      <c r="Z36" s="9"/>
      <c r="AA36" s="9"/>
      <c r="AB36" s="9"/>
      <c r="AC36" s="9"/>
      <c r="AD36" s="9"/>
      <c r="AE36" s="9"/>
      <c r="AF36" s="9"/>
      <c r="AG36" s="9"/>
      <c r="AH36" s="9"/>
      <c r="AI36" s="9"/>
    </row>
    <row r="37" spans="1:35" x14ac:dyDescent="0.2">
      <c r="A37" t="s">
        <v>171</v>
      </c>
      <c r="B37" s="9">
        <v>8</v>
      </c>
      <c r="C37" s="9">
        <v>8</v>
      </c>
      <c r="D37" s="9" t="s">
        <v>349</v>
      </c>
      <c r="E37" s="9" t="s">
        <v>350</v>
      </c>
      <c r="F37" s="9" t="s">
        <v>351</v>
      </c>
      <c r="G37" s="9" t="s">
        <v>352</v>
      </c>
      <c r="H37" s="9" t="s">
        <v>353</v>
      </c>
      <c r="I37" s="9" t="s">
        <v>354</v>
      </c>
      <c r="J37" s="9" t="s">
        <v>355</v>
      </c>
      <c r="K37" s="9" t="s">
        <v>356</v>
      </c>
      <c r="L37" s="9" t="s">
        <v>357</v>
      </c>
      <c r="M37" s="9" t="s">
        <v>358</v>
      </c>
      <c r="N37" s="9" t="s">
        <v>359</v>
      </c>
      <c r="O37" s="9" t="s">
        <v>360</v>
      </c>
      <c r="P37" s="9" t="s">
        <v>361</v>
      </c>
      <c r="Q37" s="9" t="s">
        <v>362</v>
      </c>
      <c r="R37" s="9" t="s">
        <v>363</v>
      </c>
      <c r="S37" s="9" t="s">
        <v>364</v>
      </c>
      <c r="T37" s="9"/>
      <c r="U37" s="9"/>
      <c r="V37" s="9"/>
      <c r="W37" s="9"/>
      <c r="X37" s="9"/>
      <c r="Y37" s="9"/>
      <c r="Z37" s="9"/>
      <c r="AA37" s="9"/>
      <c r="AB37" s="9"/>
      <c r="AC37" s="9"/>
      <c r="AD37" s="9"/>
      <c r="AE37" s="9"/>
      <c r="AF37" s="9"/>
      <c r="AG37" s="9"/>
      <c r="AH37" s="9"/>
      <c r="AI37" s="9"/>
    </row>
    <row r="38" spans="1:35" x14ac:dyDescent="0.2">
      <c r="A38" t="s">
        <v>173</v>
      </c>
      <c r="B38" s="9">
        <v>8</v>
      </c>
      <c r="C38" s="9">
        <v>8</v>
      </c>
      <c r="D38" s="9" t="s">
        <v>349</v>
      </c>
      <c r="E38" s="9" t="s">
        <v>350</v>
      </c>
      <c r="F38" s="9" t="s">
        <v>351</v>
      </c>
      <c r="G38" s="9" t="s">
        <v>352</v>
      </c>
      <c r="H38" s="9" t="s">
        <v>353</v>
      </c>
      <c r="I38" s="9" t="s">
        <v>354</v>
      </c>
      <c r="J38" s="9" t="s">
        <v>355</v>
      </c>
      <c r="K38" s="9" t="s">
        <v>356</v>
      </c>
      <c r="L38" s="9" t="s">
        <v>357</v>
      </c>
      <c r="M38" s="9" t="s">
        <v>358</v>
      </c>
      <c r="N38" s="9" t="s">
        <v>359</v>
      </c>
      <c r="O38" s="9" t="s">
        <v>360</v>
      </c>
      <c r="P38" s="9" t="s">
        <v>361</v>
      </c>
      <c r="Q38" s="9" t="s">
        <v>362</v>
      </c>
      <c r="R38" s="9" t="s">
        <v>363</v>
      </c>
      <c r="S38" s="9" t="s">
        <v>364</v>
      </c>
      <c r="T38" s="9"/>
      <c r="U38" s="9"/>
      <c r="V38" s="9"/>
      <c r="W38" s="9"/>
      <c r="X38" s="9"/>
      <c r="Y38" s="9"/>
      <c r="Z38" s="9"/>
      <c r="AA38" s="9"/>
      <c r="AB38" s="9"/>
      <c r="AC38" s="9"/>
      <c r="AD38" s="9"/>
      <c r="AE38" s="9"/>
      <c r="AF38" s="9"/>
      <c r="AG38" s="9"/>
      <c r="AH38" s="9"/>
      <c r="AI38" s="9"/>
    </row>
    <row r="39" spans="1:35" x14ac:dyDescent="0.2">
      <c r="A39" t="s">
        <v>175</v>
      </c>
      <c r="B39" s="9">
        <v>16</v>
      </c>
      <c r="C39" s="9">
        <v>16</v>
      </c>
      <c r="D39" s="9" t="s">
        <v>365</v>
      </c>
      <c r="E39" s="9" t="s">
        <v>366</v>
      </c>
      <c r="F39" s="9" t="s">
        <v>367</v>
      </c>
      <c r="G39" s="9" t="s">
        <v>368</v>
      </c>
      <c r="H39" s="9" t="s">
        <v>369</v>
      </c>
      <c r="I39" s="9" t="s">
        <v>370</v>
      </c>
      <c r="J39" s="9" t="s">
        <v>371</v>
      </c>
      <c r="K39" s="9" t="s">
        <v>372</v>
      </c>
      <c r="L39" s="9" t="s">
        <v>373</v>
      </c>
      <c r="M39" s="9" t="s">
        <v>374</v>
      </c>
      <c r="N39" s="9" t="s">
        <v>375</v>
      </c>
      <c r="O39" s="9" t="s">
        <v>376</v>
      </c>
      <c r="P39" s="9" t="s">
        <v>377</v>
      </c>
      <c r="Q39" s="9" t="s">
        <v>378</v>
      </c>
      <c r="R39" s="9" t="s">
        <v>379</v>
      </c>
      <c r="S39" s="9" t="s">
        <v>380</v>
      </c>
      <c r="T39" s="9" t="s">
        <v>381</v>
      </c>
      <c r="U39" s="9" t="s">
        <v>382</v>
      </c>
      <c r="V39" s="9" t="s">
        <v>383</v>
      </c>
      <c r="W39" s="9" t="s">
        <v>384</v>
      </c>
      <c r="X39" s="9" t="s">
        <v>385</v>
      </c>
      <c r="Y39" s="9" t="s">
        <v>386</v>
      </c>
      <c r="Z39" s="9" t="s">
        <v>387</v>
      </c>
      <c r="AA39" s="9" t="s">
        <v>388</v>
      </c>
      <c r="AB39" s="9" t="s">
        <v>389</v>
      </c>
      <c r="AC39" s="9" t="s">
        <v>390</v>
      </c>
      <c r="AD39" s="9" t="s">
        <v>391</v>
      </c>
      <c r="AE39" s="9" t="s">
        <v>392</v>
      </c>
      <c r="AF39" s="9" t="s">
        <v>393</v>
      </c>
      <c r="AG39" s="9" t="s">
        <v>394</v>
      </c>
      <c r="AH39" s="9" t="s">
        <v>395</v>
      </c>
      <c r="AI39" s="9" t="s">
        <v>396</v>
      </c>
    </row>
    <row r="40" spans="1:35" x14ac:dyDescent="0.2">
      <c r="A40" t="s">
        <v>177</v>
      </c>
      <c r="B40" s="9">
        <v>16</v>
      </c>
      <c r="C40" s="9">
        <v>16</v>
      </c>
      <c r="D40" s="9" t="s">
        <v>365</v>
      </c>
      <c r="E40" s="9" t="s">
        <v>366</v>
      </c>
      <c r="F40" s="9" t="s">
        <v>367</v>
      </c>
      <c r="G40" s="9" t="s">
        <v>368</v>
      </c>
      <c r="H40" s="9" t="s">
        <v>369</v>
      </c>
      <c r="I40" s="9" t="s">
        <v>370</v>
      </c>
      <c r="J40" s="9" t="s">
        <v>371</v>
      </c>
      <c r="K40" s="9" t="s">
        <v>372</v>
      </c>
      <c r="L40" s="9" t="s">
        <v>373</v>
      </c>
      <c r="M40" s="9" t="s">
        <v>374</v>
      </c>
      <c r="N40" s="9" t="s">
        <v>375</v>
      </c>
      <c r="O40" s="9" t="s">
        <v>376</v>
      </c>
      <c r="P40" s="9" t="s">
        <v>377</v>
      </c>
      <c r="Q40" s="9" t="s">
        <v>378</v>
      </c>
      <c r="R40" s="9" t="s">
        <v>379</v>
      </c>
      <c r="S40" s="9" t="s">
        <v>380</v>
      </c>
      <c r="T40" s="9" t="s">
        <v>381</v>
      </c>
      <c r="U40" s="9" t="s">
        <v>382</v>
      </c>
      <c r="V40" s="9" t="s">
        <v>383</v>
      </c>
      <c r="W40" s="9" t="s">
        <v>384</v>
      </c>
      <c r="X40" s="9" t="s">
        <v>385</v>
      </c>
      <c r="Y40" s="9" t="s">
        <v>386</v>
      </c>
      <c r="Z40" s="9" t="s">
        <v>387</v>
      </c>
      <c r="AA40" s="9" t="s">
        <v>388</v>
      </c>
      <c r="AB40" s="9" t="s">
        <v>389</v>
      </c>
      <c r="AC40" s="9" t="s">
        <v>390</v>
      </c>
      <c r="AD40" s="9" t="s">
        <v>391</v>
      </c>
      <c r="AE40" s="9" t="s">
        <v>392</v>
      </c>
      <c r="AF40" s="9" t="s">
        <v>393</v>
      </c>
      <c r="AG40" s="9" t="s">
        <v>394</v>
      </c>
      <c r="AH40" s="9" t="s">
        <v>395</v>
      </c>
      <c r="AI40" s="9" t="s">
        <v>396</v>
      </c>
    </row>
    <row r="41" spans="1:35" x14ac:dyDescent="0.2">
      <c r="A41" t="s">
        <v>179</v>
      </c>
      <c r="B41" s="9">
        <v>16</v>
      </c>
      <c r="C41" s="9">
        <v>16</v>
      </c>
      <c r="D41" s="9" t="s">
        <v>365</v>
      </c>
      <c r="E41" s="9" t="s">
        <v>366</v>
      </c>
      <c r="F41" s="9" t="s">
        <v>367</v>
      </c>
      <c r="G41" s="9" t="s">
        <v>368</v>
      </c>
      <c r="H41" s="9" t="s">
        <v>369</v>
      </c>
      <c r="I41" s="9" t="s">
        <v>370</v>
      </c>
      <c r="J41" s="9" t="s">
        <v>371</v>
      </c>
      <c r="K41" s="9" t="s">
        <v>372</v>
      </c>
      <c r="L41" s="9" t="s">
        <v>373</v>
      </c>
      <c r="M41" s="9" t="s">
        <v>374</v>
      </c>
      <c r="N41" s="9" t="s">
        <v>375</v>
      </c>
      <c r="O41" s="9" t="s">
        <v>376</v>
      </c>
      <c r="P41" s="9" t="s">
        <v>377</v>
      </c>
      <c r="Q41" s="9" t="s">
        <v>378</v>
      </c>
      <c r="R41" s="9" t="s">
        <v>379</v>
      </c>
      <c r="S41" s="9" t="s">
        <v>380</v>
      </c>
      <c r="T41" s="9" t="s">
        <v>381</v>
      </c>
      <c r="U41" s="9" t="s">
        <v>382</v>
      </c>
      <c r="V41" s="9" t="s">
        <v>383</v>
      </c>
      <c r="W41" s="9" t="s">
        <v>384</v>
      </c>
      <c r="X41" s="9" t="s">
        <v>385</v>
      </c>
      <c r="Y41" s="9" t="s">
        <v>386</v>
      </c>
      <c r="Z41" s="9" t="s">
        <v>387</v>
      </c>
      <c r="AA41" s="9" t="s">
        <v>388</v>
      </c>
      <c r="AB41" s="9" t="s">
        <v>389</v>
      </c>
      <c r="AC41" s="9" t="s">
        <v>390</v>
      </c>
      <c r="AD41" s="9" t="s">
        <v>391</v>
      </c>
      <c r="AE41" s="9" t="s">
        <v>392</v>
      </c>
      <c r="AF41" s="9" t="s">
        <v>393</v>
      </c>
      <c r="AG41" s="9" t="s">
        <v>394</v>
      </c>
      <c r="AH41" s="9" t="s">
        <v>395</v>
      </c>
      <c r="AI41" s="9" t="s">
        <v>396</v>
      </c>
    </row>
    <row r="42" spans="1:35" x14ac:dyDescent="0.2">
      <c r="A42" t="s">
        <v>181</v>
      </c>
      <c r="B42" s="9">
        <v>16</v>
      </c>
      <c r="C42" s="9">
        <v>16</v>
      </c>
      <c r="D42" s="9" t="s">
        <v>365</v>
      </c>
      <c r="E42" s="9" t="s">
        <v>366</v>
      </c>
      <c r="F42" s="9" t="s">
        <v>367</v>
      </c>
      <c r="G42" s="9" t="s">
        <v>368</v>
      </c>
      <c r="H42" s="9" t="s">
        <v>369</v>
      </c>
      <c r="I42" s="9" t="s">
        <v>370</v>
      </c>
      <c r="J42" s="9" t="s">
        <v>371</v>
      </c>
      <c r="K42" s="9" t="s">
        <v>372</v>
      </c>
      <c r="L42" s="9" t="s">
        <v>373</v>
      </c>
      <c r="M42" s="9" t="s">
        <v>374</v>
      </c>
      <c r="N42" s="9" t="s">
        <v>375</v>
      </c>
      <c r="O42" s="9" t="s">
        <v>376</v>
      </c>
      <c r="P42" s="9" t="s">
        <v>377</v>
      </c>
      <c r="Q42" s="9" t="s">
        <v>378</v>
      </c>
      <c r="R42" s="9" t="s">
        <v>379</v>
      </c>
      <c r="S42" s="9" t="s">
        <v>380</v>
      </c>
      <c r="T42" s="9" t="s">
        <v>381</v>
      </c>
      <c r="U42" s="9" t="s">
        <v>382</v>
      </c>
      <c r="V42" s="9" t="s">
        <v>383</v>
      </c>
      <c r="W42" s="9" t="s">
        <v>384</v>
      </c>
      <c r="X42" s="9" t="s">
        <v>385</v>
      </c>
      <c r="Y42" s="9" t="s">
        <v>386</v>
      </c>
      <c r="Z42" s="9" t="s">
        <v>387</v>
      </c>
      <c r="AA42" s="9" t="s">
        <v>388</v>
      </c>
      <c r="AB42" s="9" t="s">
        <v>389</v>
      </c>
      <c r="AC42" s="9" t="s">
        <v>390</v>
      </c>
      <c r="AD42" s="9" t="s">
        <v>391</v>
      </c>
      <c r="AE42" s="9" t="s">
        <v>392</v>
      </c>
      <c r="AF42" s="9" t="s">
        <v>393</v>
      </c>
      <c r="AG42" s="9" t="s">
        <v>394</v>
      </c>
      <c r="AH42" s="9" t="s">
        <v>395</v>
      </c>
      <c r="AI42" s="9" t="s">
        <v>396</v>
      </c>
    </row>
    <row r="43" spans="1:35" x14ac:dyDescent="0.2">
      <c r="A43" t="s">
        <v>183</v>
      </c>
      <c r="B43" s="9">
        <v>24</v>
      </c>
      <c r="C43" s="9">
        <v>8</v>
      </c>
      <c r="D43" s="9" t="s">
        <v>365</v>
      </c>
      <c r="E43" s="9" t="s">
        <v>366</v>
      </c>
      <c r="F43" s="9" t="s">
        <v>367</v>
      </c>
      <c r="G43" s="9" t="s">
        <v>368</v>
      </c>
      <c r="H43" s="9" t="s">
        <v>369</v>
      </c>
      <c r="I43" s="9" t="s">
        <v>370</v>
      </c>
      <c r="J43" s="9" t="s">
        <v>371</v>
      </c>
      <c r="K43" s="9" t="s">
        <v>372</v>
      </c>
      <c r="L43" s="9" t="s">
        <v>373</v>
      </c>
      <c r="M43" s="9" t="s">
        <v>374</v>
      </c>
      <c r="N43" s="9" t="s">
        <v>375</v>
      </c>
      <c r="O43" s="9" t="s">
        <v>376</v>
      </c>
      <c r="P43" s="9" t="s">
        <v>377</v>
      </c>
      <c r="Q43" s="9" t="s">
        <v>378</v>
      </c>
      <c r="R43" s="9" t="s">
        <v>379</v>
      </c>
      <c r="S43" s="9" t="s">
        <v>380</v>
      </c>
      <c r="T43" s="9" t="s">
        <v>381</v>
      </c>
      <c r="U43" s="9" t="s">
        <v>382</v>
      </c>
      <c r="V43" s="9" t="s">
        <v>383</v>
      </c>
      <c r="W43" s="9" t="s">
        <v>384</v>
      </c>
      <c r="X43" s="9" t="s">
        <v>385</v>
      </c>
      <c r="Y43" s="9" t="s">
        <v>386</v>
      </c>
      <c r="Z43" s="9" t="s">
        <v>387</v>
      </c>
      <c r="AA43" s="9" t="s">
        <v>388</v>
      </c>
      <c r="AB43" s="9" t="s">
        <v>389</v>
      </c>
      <c r="AC43" s="9" t="s">
        <v>390</v>
      </c>
      <c r="AD43" s="9" t="s">
        <v>391</v>
      </c>
      <c r="AE43" s="9" t="s">
        <v>392</v>
      </c>
      <c r="AF43" s="9" t="s">
        <v>393</v>
      </c>
      <c r="AG43" s="9" t="s">
        <v>394</v>
      </c>
      <c r="AH43" s="9" t="s">
        <v>395</v>
      </c>
      <c r="AI43" s="9" t="s">
        <v>396</v>
      </c>
    </row>
    <row r="44" spans="1:35" x14ac:dyDescent="0.2">
      <c r="A44" t="s">
        <v>185</v>
      </c>
      <c r="B44" s="9">
        <v>24</v>
      </c>
      <c r="C44" s="9">
        <v>8</v>
      </c>
      <c r="D44" s="9" t="s">
        <v>365</v>
      </c>
      <c r="E44" s="9" t="s">
        <v>366</v>
      </c>
      <c r="F44" s="9" t="s">
        <v>367</v>
      </c>
      <c r="G44" s="9" t="s">
        <v>368</v>
      </c>
      <c r="H44" s="9" t="s">
        <v>369</v>
      </c>
      <c r="I44" s="9" t="s">
        <v>370</v>
      </c>
      <c r="J44" s="9" t="s">
        <v>371</v>
      </c>
      <c r="K44" s="9" t="s">
        <v>372</v>
      </c>
      <c r="L44" s="9" t="s">
        <v>373</v>
      </c>
      <c r="M44" s="9" t="s">
        <v>374</v>
      </c>
      <c r="N44" s="9" t="s">
        <v>375</v>
      </c>
      <c r="O44" s="9" t="s">
        <v>376</v>
      </c>
      <c r="P44" s="9" t="s">
        <v>377</v>
      </c>
      <c r="Q44" s="9" t="s">
        <v>378</v>
      </c>
      <c r="R44" s="9" t="s">
        <v>379</v>
      </c>
      <c r="S44" s="9" t="s">
        <v>380</v>
      </c>
      <c r="T44" s="9" t="s">
        <v>381</v>
      </c>
      <c r="U44" s="9" t="s">
        <v>382</v>
      </c>
      <c r="V44" s="9" t="s">
        <v>383</v>
      </c>
      <c r="W44" s="9" t="s">
        <v>384</v>
      </c>
      <c r="X44" s="9" t="s">
        <v>385</v>
      </c>
      <c r="Y44" s="9" t="s">
        <v>386</v>
      </c>
      <c r="Z44" s="9" t="s">
        <v>387</v>
      </c>
      <c r="AA44" s="9" t="s">
        <v>388</v>
      </c>
      <c r="AB44" s="9" t="s">
        <v>389</v>
      </c>
      <c r="AC44" s="9" t="s">
        <v>390</v>
      </c>
      <c r="AD44" s="9" t="s">
        <v>391</v>
      </c>
      <c r="AE44" s="9" t="s">
        <v>392</v>
      </c>
      <c r="AF44" s="9" t="s">
        <v>393</v>
      </c>
      <c r="AG44" s="9" t="s">
        <v>394</v>
      </c>
      <c r="AH44" s="9" t="s">
        <v>395</v>
      </c>
      <c r="AI44" s="9" t="s">
        <v>396</v>
      </c>
    </row>
    <row r="45" spans="1:35" x14ac:dyDescent="0.2">
      <c r="A45" t="s">
        <v>187</v>
      </c>
      <c r="B45" s="9">
        <v>24</v>
      </c>
      <c r="C45" s="9">
        <v>8</v>
      </c>
      <c r="D45" s="9" t="s">
        <v>365</v>
      </c>
      <c r="E45" s="9" t="s">
        <v>366</v>
      </c>
      <c r="F45" s="9" t="s">
        <v>367</v>
      </c>
      <c r="G45" s="9" t="s">
        <v>368</v>
      </c>
      <c r="H45" s="9" t="s">
        <v>369</v>
      </c>
      <c r="I45" s="9" t="s">
        <v>370</v>
      </c>
      <c r="J45" s="9" t="s">
        <v>371</v>
      </c>
      <c r="K45" s="9" t="s">
        <v>372</v>
      </c>
      <c r="L45" s="9" t="s">
        <v>373</v>
      </c>
      <c r="M45" s="9" t="s">
        <v>374</v>
      </c>
      <c r="N45" s="9" t="s">
        <v>375</v>
      </c>
      <c r="O45" s="9" t="s">
        <v>376</v>
      </c>
      <c r="P45" s="9" t="s">
        <v>377</v>
      </c>
      <c r="Q45" s="9" t="s">
        <v>378</v>
      </c>
      <c r="R45" s="9" t="s">
        <v>379</v>
      </c>
      <c r="S45" s="9" t="s">
        <v>380</v>
      </c>
      <c r="T45" s="9" t="s">
        <v>381</v>
      </c>
      <c r="U45" s="9" t="s">
        <v>382</v>
      </c>
      <c r="V45" s="9" t="s">
        <v>383</v>
      </c>
      <c r="W45" s="9" t="s">
        <v>384</v>
      </c>
      <c r="X45" s="9" t="s">
        <v>385</v>
      </c>
      <c r="Y45" s="9" t="s">
        <v>386</v>
      </c>
      <c r="Z45" s="9" t="s">
        <v>387</v>
      </c>
      <c r="AA45" s="9" t="s">
        <v>388</v>
      </c>
      <c r="AB45" s="9" t="s">
        <v>389</v>
      </c>
      <c r="AC45" s="9" t="s">
        <v>390</v>
      </c>
      <c r="AD45" s="9" t="s">
        <v>391</v>
      </c>
      <c r="AE45" s="9" t="s">
        <v>392</v>
      </c>
      <c r="AF45" s="9" t="s">
        <v>393</v>
      </c>
      <c r="AG45" s="9" t="s">
        <v>394</v>
      </c>
      <c r="AH45" s="9" t="s">
        <v>395</v>
      </c>
      <c r="AI45" s="9" t="s">
        <v>396</v>
      </c>
    </row>
    <row r="46" spans="1:35" x14ac:dyDescent="0.2">
      <c r="A46" t="s">
        <v>189</v>
      </c>
      <c r="B46" s="9">
        <v>24</v>
      </c>
      <c r="C46" s="9">
        <v>8</v>
      </c>
      <c r="D46" s="9" t="s">
        <v>365</v>
      </c>
      <c r="E46" s="9" t="s">
        <v>366</v>
      </c>
      <c r="F46" s="9" t="s">
        <v>367</v>
      </c>
      <c r="G46" s="9" t="s">
        <v>368</v>
      </c>
      <c r="H46" s="9" t="s">
        <v>369</v>
      </c>
      <c r="I46" s="9" t="s">
        <v>370</v>
      </c>
      <c r="J46" s="9" t="s">
        <v>371</v>
      </c>
      <c r="K46" s="9" t="s">
        <v>372</v>
      </c>
      <c r="L46" s="9" t="s">
        <v>373</v>
      </c>
      <c r="M46" s="9" t="s">
        <v>374</v>
      </c>
      <c r="N46" s="9" t="s">
        <v>375</v>
      </c>
      <c r="O46" s="9" t="s">
        <v>376</v>
      </c>
      <c r="P46" s="9" t="s">
        <v>377</v>
      </c>
      <c r="Q46" s="9" t="s">
        <v>378</v>
      </c>
      <c r="R46" s="9" t="s">
        <v>379</v>
      </c>
      <c r="S46" s="9" t="s">
        <v>380</v>
      </c>
      <c r="T46" s="9" t="s">
        <v>381</v>
      </c>
      <c r="U46" s="9" t="s">
        <v>382</v>
      </c>
      <c r="V46" s="9" t="s">
        <v>383</v>
      </c>
      <c r="W46" s="9" t="s">
        <v>384</v>
      </c>
      <c r="X46" s="9" t="s">
        <v>385</v>
      </c>
      <c r="Y46" s="9" t="s">
        <v>386</v>
      </c>
      <c r="Z46" s="9" t="s">
        <v>387</v>
      </c>
      <c r="AA46" s="9" t="s">
        <v>388</v>
      </c>
      <c r="AB46" s="9" t="s">
        <v>389</v>
      </c>
      <c r="AC46" s="9" t="s">
        <v>390</v>
      </c>
      <c r="AD46" s="9" t="s">
        <v>391</v>
      </c>
      <c r="AE46" s="9" t="s">
        <v>392</v>
      </c>
      <c r="AF46" s="9" t="s">
        <v>393</v>
      </c>
      <c r="AG46" s="9" t="s">
        <v>394</v>
      </c>
      <c r="AH46" s="9" t="s">
        <v>395</v>
      </c>
      <c r="AI46" s="9" t="s">
        <v>396</v>
      </c>
    </row>
    <row r="47" spans="1:35" x14ac:dyDescent="0.2">
      <c r="A47" t="s">
        <v>191</v>
      </c>
      <c r="B47" s="9">
        <v>32</v>
      </c>
      <c r="C47" s="9">
        <v>0</v>
      </c>
      <c r="D47" s="9" t="s">
        <v>365</v>
      </c>
      <c r="E47" s="9" t="s">
        <v>366</v>
      </c>
      <c r="F47" s="9" t="s">
        <v>367</v>
      </c>
      <c r="G47" s="9" t="s">
        <v>368</v>
      </c>
      <c r="H47" s="9" t="s">
        <v>369</v>
      </c>
      <c r="I47" s="9" t="s">
        <v>370</v>
      </c>
      <c r="J47" s="9" t="s">
        <v>371</v>
      </c>
      <c r="K47" s="9" t="s">
        <v>372</v>
      </c>
      <c r="L47" s="9" t="s">
        <v>373</v>
      </c>
      <c r="M47" s="9" t="s">
        <v>374</v>
      </c>
      <c r="N47" s="9" t="s">
        <v>375</v>
      </c>
      <c r="O47" s="9" t="s">
        <v>376</v>
      </c>
      <c r="P47" s="9" t="s">
        <v>377</v>
      </c>
      <c r="Q47" s="9" t="s">
        <v>378</v>
      </c>
      <c r="R47" s="9" t="s">
        <v>379</v>
      </c>
      <c r="S47" s="9" t="s">
        <v>380</v>
      </c>
      <c r="T47" s="9" t="s">
        <v>381</v>
      </c>
      <c r="U47" s="9" t="s">
        <v>382</v>
      </c>
      <c r="V47" s="9" t="s">
        <v>383</v>
      </c>
      <c r="W47" s="9" t="s">
        <v>384</v>
      </c>
      <c r="X47" s="9" t="s">
        <v>385</v>
      </c>
      <c r="Y47" s="9" t="s">
        <v>386</v>
      </c>
      <c r="Z47" s="9" t="s">
        <v>387</v>
      </c>
      <c r="AA47" s="9" t="s">
        <v>388</v>
      </c>
      <c r="AB47" s="9" t="s">
        <v>389</v>
      </c>
      <c r="AC47" s="9" t="s">
        <v>390</v>
      </c>
      <c r="AD47" s="9" t="s">
        <v>391</v>
      </c>
      <c r="AE47" s="9" t="s">
        <v>392</v>
      </c>
      <c r="AF47" s="9" t="s">
        <v>393</v>
      </c>
      <c r="AG47" s="9" t="s">
        <v>394</v>
      </c>
      <c r="AH47" s="9" t="s">
        <v>395</v>
      </c>
      <c r="AI47" s="9" t="s">
        <v>396</v>
      </c>
    </row>
    <row r="48" spans="1:35" x14ac:dyDescent="0.2">
      <c r="A48" t="s">
        <v>192</v>
      </c>
      <c r="B48" s="9">
        <v>32</v>
      </c>
      <c r="C48" s="9">
        <v>0</v>
      </c>
      <c r="D48" s="9" t="s">
        <v>365</v>
      </c>
      <c r="E48" s="9" t="s">
        <v>366</v>
      </c>
      <c r="F48" s="9" t="s">
        <v>367</v>
      </c>
      <c r="G48" s="9" t="s">
        <v>368</v>
      </c>
      <c r="H48" s="9" t="s">
        <v>369</v>
      </c>
      <c r="I48" s="9" t="s">
        <v>370</v>
      </c>
      <c r="J48" s="9" t="s">
        <v>371</v>
      </c>
      <c r="K48" s="9" t="s">
        <v>372</v>
      </c>
      <c r="L48" s="9" t="s">
        <v>373</v>
      </c>
      <c r="M48" s="9" t="s">
        <v>374</v>
      </c>
      <c r="N48" s="9" t="s">
        <v>375</v>
      </c>
      <c r="O48" s="9" t="s">
        <v>376</v>
      </c>
      <c r="P48" s="9" t="s">
        <v>377</v>
      </c>
      <c r="Q48" s="9" t="s">
        <v>378</v>
      </c>
      <c r="R48" s="9" t="s">
        <v>379</v>
      </c>
      <c r="S48" s="9" t="s">
        <v>380</v>
      </c>
      <c r="T48" s="9" t="s">
        <v>381</v>
      </c>
      <c r="U48" s="9" t="s">
        <v>382</v>
      </c>
      <c r="V48" s="9" t="s">
        <v>383</v>
      </c>
      <c r="W48" s="9" t="s">
        <v>384</v>
      </c>
      <c r="X48" s="9" t="s">
        <v>385</v>
      </c>
      <c r="Y48" s="9" t="s">
        <v>386</v>
      </c>
      <c r="Z48" s="9" t="s">
        <v>387</v>
      </c>
      <c r="AA48" s="9" t="s">
        <v>388</v>
      </c>
      <c r="AB48" s="9" t="s">
        <v>389</v>
      </c>
      <c r="AC48" s="9" t="s">
        <v>390</v>
      </c>
      <c r="AD48" s="9" t="s">
        <v>391</v>
      </c>
      <c r="AE48" s="9" t="s">
        <v>392</v>
      </c>
      <c r="AF48" s="9" t="s">
        <v>393</v>
      </c>
      <c r="AG48" s="9" t="s">
        <v>394</v>
      </c>
      <c r="AH48" s="9" t="s">
        <v>395</v>
      </c>
      <c r="AI48" s="9" t="s">
        <v>396</v>
      </c>
    </row>
    <row r="49" spans="1:35" x14ac:dyDescent="0.2">
      <c r="A49" t="s">
        <v>193</v>
      </c>
      <c r="B49" s="9">
        <v>32</v>
      </c>
      <c r="C49" s="9">
        <v>0</v>
      </c>
      <c r="D49" s="9" t="s">
        <v>365</v>
      </c>
      <c r="E49" s="9" t="s">
        <v>366</v>
      </c>
      <c r="F49" s="9" t="s">
        <v>367</v>
      </c>
      <c r="G49" s="9" t="s">
        <v>368</v>
      </c>
      <c r="H49" s="9" t="s">
        <v>369</v>
      </c>
      <c r="I49" s="9" t="s">
        <v>370</v>
      </c>
      <c r="J49" s="9" t="s">
        <v>371</v>
      </c>
      <c r="K49" s="9" t="s">
        <v>372</v>
      </c>
      <c r="L49" s="9" t="s">
        <v>373</v>
      </c>
      <c r="M49" s="9" t="s">
        <v>374</v>
      </c>
      <c r="N49" s="9" t="s">
        <v>375</v>
      </c>
      <c r="O49" s="9" t="s">
        <v>376</v>
      </c>
      <c r="P49" s="9" t="s">
        <v>377</v>
      </c>
      <c r="Q49" s="9" t="s">
        <v>378</v>
      </c>
      <c r="R49" s="9" t="s">
        <v>379</v>
      </c>
      <c r="S49" s="9" t="s">
        <v>380</v>
      </c>
      <c r="T49" s="9" t="s">
        <v>381</v>
      </c>
      <c r="U49" s="9" t="s">
        <v>382</v>
      </c>
      <c r="V49" s="9" t="s">
        <v>383</v>
      </c>
      <c r="W49" s="9" t="s">
        <v>384</v>
      </c>
      <c r="X49" s="9" t="s">
        <v>385</v>
      </c>
      <c r="Y49" s="9" t="s">
        <v>386</v>
      </c>
      <c r="Z49" s="9" t="s">
        <v>387</v>
      </c>
      <c r="AA49" s="9" t="s">
        <v>388</v>
      </c>
      <c r="AB49" s="9" t="s">
        <v>389</v>
      </c>
      <c r="AC49" s="9" t="s">
        <v>390</v>
      </c>
      <c r="AD49" s="9" t="s">
        <v>391</v>
      </c>
      <c r="AE49" s="9" t="s">
        <v>392</v>
      </c>
      <c r="AF49" s="9" t="s">
        <v>393</v>
      </c>
      <c r="AG49" s="9" t="s">
        <v>394</v>
      </c>
      <c r="AH49" s="9" t="s">
        <v>395</v>
      </c>
      <c r="AI49" s="9" t="s">
        <v>396</v>
      </c>
    </row>
    <row r="50" spans="1:35" x14ac:dyDescent="0.2">
      <c r="A50" t="s">
        <v>194</v>
      </c>
      <c r="B50" s="9">
        <v>32</v>
      </c>
      <c r="C50" s="9">
        <v>0</v>
      </c>
      <c r="D50" s="9" t="s">
        <v>365</v>
      </c>
      <c r="E50" s="9" t="s">
        <v>366</v>
      </c>
      <c r="F50" s="9" t="s">
        <v>367</v>
      </c>
      <c r="G50" s="9" t="s">
        <v>368</v>
      </c>
      <c r="H50" s="9" t="s">
        <v>369</v>
      </c>
      <c r="I50" s="9" t="s">
        <v>370</v>
      </c>
      <c r="J50" s="9" t="s">
        <v>371</v>
      </c>
      <c r="K50" s="9" t="s">
        <v>372</v>
      </c>
      <c r="L50" s="9" t="s">
        <v>373</v>
      </c>
      <c r="M50" s="9" t="s">
        <v>374</v>
      </c>
      <c r="N50" s="9" t="s">
        <v>375</v>
      </c>
      <c r="O50" s="9" t="s">
        <v>376</v>
      </c>
      <c r="P50" s="9" t="s">
        <v>377</v>
      </c>
      <c r="Q50" s="9" t="s">
        <v>378</v>
      </c>
      <c r="R50" s="9" t="s">
        <v>379</v>
      </c>
      <c r="S50" s="9" t="s">
        <v>380</v>
      </c>
      <c r="T50" s="9" t="s">
        <v>381</v>
      </c>
      <c r="U50" s="9" t="s">
        <v>382</v>
      </c>
      <c r="V50" s="9" t="s">
        <v>383</v>
      </c>
      <c r="W50" s="9" t="s">
        <v>384</v>
      </c>
      <c r="X50" s="9" t="s">
        <v>385</v>
      </c>
      <c r="Y50" s="9" t="s">
        <v>386</v>
      </c>
      <c r="Z50" s="9" t="s">
        <v>387</v>
      </c>
      <c r="AA50" s="9" t="s">
        <v>388</v>
      </c>
      <c r="AB50" s="9" t="s">
        <v>389</v>
      </c>
      <c r="AC50" s="9" t="s">
        <v>390</v>
      </c>
      <c r="AD50" s="9" t="s">
        <v>391</v>
      </c>
      <c r="AE50" s="9" t="s">
        <v>392</v>
      </c>
      <c r="AF50" s="9" t="s">
        <v>393</v>
      </c>
      <c r="AG50" s="9" t="s">
        <v>394</v>
      </c>
      <c r="AH50" s="9" t="s">
        <v>395</v>
      </c>
      <c r="AI50" s="9" t="s">
        <v>396</v>
      </c>
    </row>
    <row r="51" spans="1:35" x14ac:dyDescent="0.2">
      <c r="A51" t="s">
        <v>17</v>
      </c>
      <c r="B51" s="9">
        <v>0</v>
      </c>
      <c r="C51" s="9">
        <v>32</v>
      </c>
      <c r="D51" s="9" t="s">
        <v>365</v>
      </c>
      <c r="E51" s="9" t="s">
        <v>366</v>
      </c>
      <c r="F51" s="9" t="s">
        <v>367</v>
      </c>
      <c r="G51" s="9" t="s">
        <v>368</v>
      </c>
      <c r="H51" s="9" t="s">
        <v>369</v>
      </c>
      <c r="I51" s="9" t="s">
        <v>370</v>
      </c>
      <c r="J51" s="9" t="s">
        <v>371</v>
      </c>
      <c r="K51" s="9" t="s">
        <v>372</v>
      </c>
      <c r="L51" s="9" t="s">
        <v>373</v>
      </c>
      <c r="M51" s="9" t="s">
        <v>374</v>
      </c>
      <c r="N51" s="9" t="s">
        <v>375</v>
      </c>
      <c r="O51" s="9" t="s">
        <v>376</v>
      </c>
      <c r="P51" s="9" t="s">
        <v>377</v>
      </c>
      <c r="Q51" s="9" t="s">
        <v>378</v>
      </c>
      <c r="R51" s="9" t="s">
        <v>379</v>
      </c>
      <c r="S51" s="9" t="s">
        <v>380</v>
      </c>
      <c r="T51" s="9" t="s">
        <v>381</v>
      </c>
      <c r="U51" s="9" t="s">
        <v>382</v>
      </c>
      <c r="V51" s="9" t="s">
        <v>383</v>
      </c>
      <c r="W51" s="9" t="s">
        <v>384</v>
      </c>
      <c r="X51" s="9" t="s">
        <v>385</v>
      </c>
      <c r="Y51" s="9" t="s">
        <v>386</v>
      </c>
      <c r="Z51" s="9" t="s">
        <v>387</v>
      </c>
      <c r="AA51" s="9" t="s">
        <v>388</v>
      </c>
      <c r="AB51" s="9" t="s">
        <v>389</v>
      </c>
      <c r="AC51" s="9" t="s">
        <v>390</v>
      </c>
      <c r="AD51" s="9" t="s">
        <v>391</v>
      </c>
      <c r="AE51" s="9" t="s">
        <v>392</v>
      </c>
      <c r="AF51" s="9" t="s">
        <v>393</v>
      </c>
      <c r="AG51" s="9" t="s">
        <v>394</v>
      </c>
      <c r="AH51" s="9" t="s">
        <v>395</v>
      </c>
      <c r="AI51" s="9" t="s">
        <v>396</v>
      </c>
    </row>
    <row r="52" spans="1:35" x14ac:dyDescent="0.2">
      <c r="A52" t="s">
        <v>195</v>
      </c>
      <c r="B52" s="9">
        <v>0</v>
      </c>
      <c r="C52" s="9">
        <v>32</v>
      </c>
      <c r="D52" s="9" t="s">
        <v>365</v>
      </c>
      <c r="E52" s="9" t="s">
        <v>366</v>
      </c>
      <c r="F52" s="9" t="s">
        <v>367</v>
      </c>
      <c r="G52" s="9" t="s">
        <v>368</v>
      </c>
      <c r="H52" s="9" t="s">
        <v>369</v>
      </c>
      <c r="I52" s="9" t="s">
        <v>370</v>
      </c>
      <c r="J52" s="9" t="s">
        <v>371</v>
      </c>
      <c r="K52" s="9" t="s">
        <v>372</v>
      </c>
      <c r="L52" s="9" t="s">
        <v>373</v>
      </c>
      <c r="M52" s="9" t="s">
        <v>374</v>
      </c>
      <c r="N52" s="9" t="s">
        <v>375</v>
      </c>
      <c r="O52" s="9" t="s">
        <v>376</v>
      </c>
      <c r="P52" s="9" t="s">
        <v>377</v>
      </c>
      <c r="Q52" s="9" t="s">
        <v>378</v>
      </c>
      <c r="R52" s="9" t="s">
        <v>379</v>
      </c>
      <c r="S52" s="9" t="s">
        <v>380</v>
      </c>
      <c r="T52" s="9" t="s">
        <v>381</v>
      </c>
      <c r="U52" s="9" t="s">
        <v>382</v>
      </c>
      <c r="V52" s="9" t="s">
        <v>383</v>
      </c>
      <c r="W52" s="9" t="s">
        <v>384</v>
      </c>
      <c r="X52" s="9" t="s">
        <v>385</v>
      </c>
      <c r="Y52" s="9" t="s">
        <v>386</v>
      </c>
      <c r="Z52" s="9" t="s">
        <v>387</v>
      </c>
      <c r="AA52" s="9" t="s">
        <v>388</v>
      </c>
      <c r="AB52" s="9" t="s">
        <v>389</v>
      </c>
      <c r="AC52" s="9" t="s">
        <v>390</v>
      </c>
      <c r="AD52" s="9" t="s">
        <v>391</v>
      </c>
      <c r="AE52" s="9" t="s">
        <v>392</v>
      </c>
      <c r="AF52" s="9" t="s">
        <v>393</v>
      </c>
      <c r="AG52" s="9" t="s">
        <v>394</v>
      </c>
      <c r="AH52" s="9" t="s">
        <v>395</v>
      </c>
      <c r="AI52" s="9" t="s">
        <v>396</v>
      </c>
    </row>
    <row r="53" spans="1:35" x14ac:dyDescent="0.2">
      <c r="A53" t="s">
        <v>196</v>
      </c>
      <c r="B53" s="9">
        <v>0</v>
      </c>
      <c r="C53" s="9">
        <v>32</v>
      </c>
      <c r="D53" s="9" t="s">
        <v>365</v>
      </c>
      <c r="E53" s="9" t="s">
        <v>366</v>
      </c>
      <c r="F53" s="9" t="s">
        <v>367</v>
      </c>
      <c r="G53" s="9" t="s">
        <v>368</v>
      </c>
      <c r="H53" s="9" t="s">
        <v>369</v>
      </c>
      <c r="I53" s="9" t="s">
        <v>370</v>
      </c>
      <c r="J53" s="9" t="s">
        <v>371</v>
      </c>
      <c r="K53" s="9" t="s">
        <v>372</v>
      </c>
      <c r="L53" s="9" t="s">
        <v>373</v>
      </c>
      <c r="M53" s="9" t="s">
        <v>374</v>
      </c>
      <c r="N53" s="9" t="s">
        <v>375</v>
      </c>
      <c r="O53" s="9" t="s">
        <v>376</v>
      </c>
      <c r="P53" s="9" t="s">
        <v>377</v>
      </c>
      <c r="Q53" s="9" t="s">
        <v>378</v>
      </c>
      <c r="R53" s="9" t="s">
        <v>379</v>
      </c>
      <c r="S53" s="9" t="s">
        <v>380</v>
      </c>
      <c r="T53" s="9" t="s">
        <v>381</v>
      </c>
      <c r="U53" s="9" t="s">
        <v>382</v>
      </c>
      <c r="V53" s="9" t="s">
        <v>383</v>
      </c>
      <c r="W53" s="9" t="s">
        <v>384</v>
      </c>
      <c r="X53" s="9" t="s">
        <v>385</v>
      </c>
      <c r="Y53" s="9" t="s">
        <v>386</v>
      </c>
      <c r="Z53" s="9" t="s">
        <v>387</v>
      </c>
      <c r="AA53" s="9" t="s">
        <v>388</v>
      </c>
      <c r="AB53" s="9" t="s">
        <v>389</v>
      </c>
      <c r="AC53" s="9" t="s">
        <v>390</v>
      </c>
      <c r="AD53" s="9" t="s">
        <v>391</v>
      </c>
      <c r="AE53" s="9" t="s">
        <v>392</v>
      </c>
      <c r="AF53" s="9" t="s">
        <v>393</v>
      </c>
      <c r="AG53" s="9" t="s">
        <v>394</v>
      </c>
      <c r="AH53" s="9" t="s">
        <v>395</v>
      </c>
      <c r="AI53" s="9" t="s">
        <v>396</v>
      </c>
    </row>
    <row r="54" spans="1:35" x14ac:dyDescent="0.2">
      <c r="A54" t="s">
        <v>197</v>
      </c>
      <c r="B54" s="9">
        <v>0</v>
      </c>
      <c r="C54" s="9">
        <v>32</v>
      </c>
      <c r="D54" s="9" t="s">
        <v>365</v>
      </c>
      <c r="E54" s="9" t="s">
        <v>366</v>
      </c>
      <c r="F54" s="9" t="s">
        <v>367</v>
      </c>
      <c r="G54" s="9" t="s">
        <v>368</v>
      </c>
      <c r="H54" s="9" t="s">
        <v>369</v>
      </c>
      <c r="I54" s="9" t="s">
        <v>370</v>
      </c>
      <c r="J54" s="9" t="s">
        <v>371</v>
      </c>
      <c r="K54" s="9" t="s">
        <v>372</v>
      </c>
      <c r="L54" s="9" t="s">
        <v>373</v>
      </c>
      <c r="M54" s="9" t="s">
        <v>374</v>
      </c>
      <c r="N54" s="9" t="s">
        <v>375</v>
      </c>
      <c r="O54" s="9" t="s">
        <v>376</v>
      </c>
      <c r="P54" s="9" t="s">
        <v>377</v>
      </c>
      <c r="Q54" s="9" t="s">
        <v>378</v>
      </c>
      <c r="R54" s="9" t="s">
        <v>379</v>
      </c>
      <c r="S54" s="9" t="s">
        <v>380</v>
      </c>
      <c r="T54" s="9" t="s">
        <v>381</v>
      </c>
      <c r="U54" s="9" t="s">
        <v>382</v>
      </c>
      <c r="V54" s="9" t="s">
        <v>383</v>
      </c>
      <c r="W54" s="9" t="s">
        <v>384</v>
      </c>
      <c r="X54" s="9" t="s">
        <v>385</v>
      </c>
      <c r="Y54" s="9" t="s">
        <v>386</v>
      </c>
      <c r="Z54" s="9" t="s">
        <v>387</v>
      </c>
      <c r="AA54" s="9" t="s">
        <v>388</v>
      </c>
      <c r="AB54" s="9" t="s">
        <v>389</v>
      </c>
      <c r="AC54" s="9" t="s">
        <v>390</v>
      </c>
      <c r="AD54" s="9" t="s">
        <v>391</v>
      </c>
      <c r="AE54" s="9" t="s">
        <v>392</v>
      </c>
      <c r="AF54" s="9" t="s">
        <v>393</v>
      </c>
      <c r="AG54" s="9" t="s">
        <v>394</v>
      </c>
      <c r="AH54" s="9" t="s">
        <v>395</v>
      </c>
      <c r="AI54" s="9" t="s">
        <v>396</v>
      </c>
    </row>
    <row r="55" spans="1:35" x14ac:dyDescent="0.2">
      <c r="A55" t="s">
        <v>198</v>
      </c>
      <c r="B55" s="9">
        <v>8</v>
      </c>
      <c r="C55" s="9">
        <v>24</v>
      </c>
      <c r="D55" s="9" t="s">
        <v>365</v>
      </c>
      <c r="E55" s="9" t="s">
        <v>366</v>
      </c>
      <c r="F55" s="9" t="s">
        <v>367</v>
      </c>
      <c r="G55" s="9" t="s">
        <v>368</v>
      </c>
      <c r="H55" s="9" t="s">
        <v>369</v>
      </c>
      <c r="I55" s="9" t="s">
        <v>370</v>
      </c>
      <c r="J55" s="9" t="s">
        <v>371</v>
      </c>
      <c r="K55" s="9" t="s">
        <v>372</v>
      </c>
      <c r="L55" s="9" t="s">
        <v>373</v>
      </c>
      <c r="M55" s="9" t="s">
        <v>374</v>
      </c>
      <c r="N55" s="9" t="s">
        <v>375</v>
      </c>
      <c r="O55" s="9" t="s">
        <v>376</v>
      </c>
      <c r="P55" s="9" t="s">
        <v>377</v>
      </c>
      <c r="Q55" s="9" t="s">
        <v>378</v>
      </c>
      <c r="R55" s="9" t="s">
        <v>379</v>
      </c>
      <c r="S55" s="9" t="s">
        <v>380</v>
      </c>
      <c r="T55" s="9" t="s">
        <v>381</v>
      </c>
      <c r="U55" s="9" t="s">
        <v>382</v>
      </c>
      <c r="V55" s="9" t="s">
        <v>383</v>
      </c>
      <c r="W55" s="9" t="s">
        <v>384</v>
      </c>
      <c r="X55" s="9" t="s">
        <v>385</v>
      </c>
      <c r="Y55" s="9" t="s">
        <v>386</v>
      </c>
      <c r="Z55" s="9" t="s">
        <v>387</v>
      </c>
      <c r="AA55" s="9" t="s">
        <v>388</v>
      </c>
      <c r="AB55" s="9" t="s">
        <v>389</v>
      </c>
      <c r="AC55" s="9" t="s">
        <v>390</v>
      </c>
      <c r="AD55" s="9" t="s">
        <v>391</v>
      </c>
      <c r="AE55" s="9" t="s">
        <v>392</v>
      </c>
      <c r="AF55" s="9" t="s">
        <v>393</v>
      </c>
      <c r="AG55" s="9" t="s">
        <v>394</v>
      </c>
      <c r="AH55" s="9" t="s">
        <v>395</v>
      </c>
      <c r="AI55" s="9" t="s">
        <v>396</v>
      </c>
    </row>
    <row r="56" spans="1:35" x14ac:dyDescent="0.2">
      <c r="A56" t="s">
        <v>199</v>
      </c>
      <c r="B56" s="9">
        <v>8</v>
      </c>
      <c r="C56" s="9">
        <v>24</v>
      </c>
      <c r="D56" s="9" t="s">
        <v>365</v>
      </c>
      <c r="E56" s="9" t="s">
        <v>366</v>
      </c>
      <c r="F56" s="9" t="s">
        <v>367</v>
      </c>
      <c r="G56" s="9" t="s">
        <v>368</v>
      </c>
      <c r="H56" s="9" t="s">
        <v>369</v>
      </c>
      <c r="I56" s="9" t="s">
        <v>370</v>
      </c>
      <c r="J56" s="9" t="s">
        <v>371</v>
      </c>
      <c r="K56" s="9" t="s">
        <v>372</v>
      </c>
      <c r="L56" s="9" t="s">
        <v>373</v>
      </c>
      <c r="M56" s="9" t="s">
        <v>374</v>
      </c>
      <c r="N56" s="9" t="s">
        <v>375</v>
      </c>
      <c r="O56" s="9" t="s">
        <v>376</v>
      </c>
      <c r="P56" s="9" t="s">
        <v>377</v>
      </c>
      <c r="Q56" s="9" t="s">
        <v>378</v>
      </c>
      <c r="R56" s="9" t="s">
        <v>379</v>
      </c>
      <c r="S56" s="9" t="s">
        <v>380</v>
      </c>
      <c r="T56" s="9" t="s">
        <v>381</v>
      </c>
      <c r="U56" s="9" t="s">
        <v>382</v>
      </c>
      <c r="V56" s="9" t="s">
        <v>383</v>
      </c>
      <c r="W56" s="9" t="s">
        <v>384</v>
      </c>
      <c r="X56" s="9" t="s">
        <v>385</v>
      </c>
      <c r="Y56" s="9" t="s">
        <v>386</v>
      </c>
      <c r="Z56" s="9" t="s">
        <v>387</v>
      </c>
      <c r="AA56" s="9" t="s">
        <v>388</v>
      </c>
      <c r="AB56" s="9" t="s">
        <v>389</v>
      </c>
      <c r="AC56" s="9" t="s">
        <v>390</v>
      </c>
      <c r="AD56" s="9" t="s">
        <v>391</v>
      </c>
      <c r="AE56" s="9" t="s">
        <v>392</v>
      </c>
      <c r="AF56" s="9" t="s">
        <v>393</v>
      </c>
      <c r="AG56" s="9" t="s">
        <v>394</v>
      </c>
      <c r="AH56" s="9" t="s">
        <v>395</v>
      </c>
      <c r="AI56" s="9" t="s">
        <v>396</v>
      </c>
    </row>
    <row r="57" spans="1:35" x14ac:dyDescent="0.2">
      <c r="A57" t="s">
        <v>200</v>
      </c>
      <c r="B57" s="9">
        <v>8</v>
      </c>
      <c r="C57" s="9">
        <v>24</v>
      </c>
      <c r="D57" s="9" t="s">
        <v>365</v>
      </c>
      <c r="E57" s="9" t="s">
        <v>366</v>
      </c>
      <c r="F57" s="9" t="s">
        <v>367</v>
      </c>
      <c r="G57" s="9" t="s">
        <v>368</v>
      </c>
      <c r="H57" s="9" t="s">
        <v>369</v>
      </c>
      <c r="I57" s="9" t="s">
        <v>370</v>
      </c>
      <c r="J57" s="9" t="s">
        <v>371</v>
      </c>
      <c r="K57" s="9" t="s">
        <v>372</v>
      </c>
      <c r="L57" s="9" t="s">
        <v>373</v>
      </c>
      <c r="M57" s="9" t="s">
        <v>374</v>
      </c>
      <c r="N57" s="9" t="s">
        <v>375</v>
      </c>
      <c r="O57" s="9" t="s">
        <v>376</v>
      </c>
      <c r="P57" s="9" t="s">
        <v>377</v>
      </c>
      <c r="Q57" s="9" t="s">
        <v>378</v>
      </c>
      <c r="R57" s="9" t="s">
        <v>379</v>
      </c>
      <c r="S57" s="9" t="s">
        <v>380</v>
      </c>
      <c r="T57" s="9" t="s">
        <v>381</v>
      </c>
      <c r="U57" s="9" t="s">
        <v>382</v>
      </c>
      <c r="V57" s="9" t="s">
        <v>383</v>
      </c>
      <c r="W57" s="9" t="s">
        <v>384</v>
      </c>
      <c r="X57" s="9" t="s">
        <v>385</v>
      </c>
      <c r="Y57" s="9" t="s">
        <v>386</v>
      </c>
      <c r="Z57" s="9" t="s">
        <v>387</v>
      </c>
      <c r="AA57" s="9" t="s">
        <v>388</v>
      </c>
      <c r="AB57" s="9" t="s">
        <v>389</v>
      </c>
      <c r="AC57" s="9" t="s">
        <v>390</v>
      </c>
      <c r="AD57" s="9" t="s">
        <v>391</v>
      </c>
      <c r="AE57" s="9" t="s">
        <v>392</v>
      </c>
      <c r="AF57" s="9" t="s">
        <v>393</v>
      </c>
      <c r="AG57" s="9" t="s">
        <v>394</v>
      </c>
      <c r="AH57" s="9" t="s">
        <v>395</v>
      </c>
      <c r="AI57" s="9" t="s">
        <v>396</v>
      </c>
    </row>
    <row r="58" spans="1:35" x14ac:dyDescent="0.2">
      <c r="A58" t="s">
        <v>201</v>
      </c>
      <c r="B58" s="9">
        <v>8</v>
      </c>
      <c r="C58" s="9">
        <v>24</v>
      </c>
      <c r="D58" s="9" t="s">
        <v>365</v>
      </c>
      <c r="E58" s="9" t="s">
        <v>366</v>
      </c>
      <c r="F58" s="9" t="s">
        <v>367</v>
      </c>
      <c r="G58" s="9" t="s">
        <v>368</v>
      </c>
      <c r="H58" s="9" t="s">
        <v>369</v>
      </c>
      <c r="I58" s="9" t="s">
        <v>370</v>
      </c>
      <c r="J58" s="9" t="s">
        <v>371</v>
      </c>
      <c r="K58" s="9" t="s">
        <v>372</v>
      </c>
      <c r="L58" s="9" t="s">
        <v>373</v>
      </c>
      <c r="M58" s="9" t="s">
        <v>374</v>
      </c>
      <c r="N58" s="9" t="s">
        <v>375</v>
      </c>
      <c r="O58" s="9" t="s">
        <v>376</v>
      </c>
      <c r="P58" s="9" t="s">
        <v>377</v>
      </c>
      <c r="Q58" s="9" t="s">
        <v>378</v>
      </c>
      <c r="R58" s="9" t="s">
        <v>379</v>
      </c>
      <c r="S58" s="9" t="s">
        <v>380</v>
      </c>
      <c r="T58" s="9" t="s">
        <v>381</v>
      </c>
      <c r="U58" s="9" t="s">
        <v>382</v>
      </c>
      <c r="V58" s="9" t="s">
        <v>383</v>
      </c>
      <c r="W58" s="9" t="s">
        <v>384</v>
      </c>
      <c r="X58" s="9" t="s">
        <v>385</v>
      </c>
      <c r="Y58" s="9" t="s">
        <v>386</v>
      </c>
      <c r="Z58" s="9" t="s">
        <v>387</v>
      </c>
      <c r="AA58" s="9" t="s">
        <v>388</v>
      </c>
      <c r="AB58" s="9" t="s">
        <v>389</v>
      </c>
      <c r="AC58" s="9" t="s">
        <v>390</v>
      </c>
      <c r="AD58" s="9" t="s">
        <v>391</v>
      </c>
      <c r="AE58" s="9" t="s">
        <v>392</v>
      </c>
      <c r="AF58" s="9" t="s">
        <v>393</v>
      </c>
      <c r="AG58" s="9" t="s">
        <v>394</v>
      </c>
      <c r="AH58" s="9" t="s">
        <v>395</v>
      </c>
      <c r="AI58" s="9" t="s">
        <v>396</v>
      </c>
    </row>
    <row r="60" spans="1:35" x14ac:dyDescent="0.2">
      <c r="A60" t="str">
        <f>"*This configuration has not be written or validated"</f>
        <v>*This configuration has not be written or validated</v>
      </c>
    </row>
    <row r="64" spans="1:35" x14ac:dyDescent="0.2">
      <c r="A64" t="s">
        <v>397</v>
      </c>
    </row>
  </sheetData>
  <sortState xmlns:xlrd2="http://schemas.microsoft.com/office/spreadsheetml/2017/richdata2" ref="A14:AI58">
    <sortCondition ref="A14:A58"/>
  </sortState>
  <mergeCells count="1">
    <mergeCell ref="A1:A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63"/>
  <sheetViews>
    <sheetView zoomScale="130" zoomScaleNormal="130" zoomScalePageLayoutView="130" workbookViewId="0">
      <selection activeCell="I9" sqref="I9"/>
    </sheetView>
  </sheetViews>
  <sheetFormatPr baseColWidth="10" defaultColWidth="11.5" defaultRowHeight="15" x14ac:dyDescent="0.2"/>
  <cols>
    <col min="1" max="1" width="21.33203125" customWidth="1"/>
    <col min="2" max="3" width="8.6640625" style="9" customWidth="1"/>
    <col min="4" max="75" width="8.6640625" customWidth="1"/>
  </cols>
  <sheetData>
    <row r="1" spans="1:75" ht="26" x14ac:dyDescent="0.3">
      <c r="A1" s="488" t="s">
        <v>398</v>
      </c>
      <c r="B1" s="488"/>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row>
    <row r="3" spans="1:75" s="8" customFormat="1" x14ac:dyDescent="0.2">
      <c r="A3" s="8" t="s">
        <v>6</v>
      </c>
      <c r="B3" s="8" t="s">
        <v>257</v>
      </c>
      <c r="C3" s="8" t="s">
        <v>258</v>
      </c>
      <c r="D3" s="8">
        <v>1</v>
      </c>
      <c r="E3" s="8">
        <v>2</v>
      </c>
      <c r="F3" s="8">
        <v>3</v>
      </c>
      <c r="G3" s="8">
        <v>4</v>
      </c>
      <c r="H3" s="8">
        <v>5</v>
      </c>
      <c r="I3" s="8">
        <v>6</v>
      </c>
      <c r="J3" s="8">
        <v>7</v>
      </c>
      <c r="K3" s="8">
        <v>8</v>
      </c>
      <c r="L3" s="8">
        <v>9</v>
      </c>
      <c r="M3" s="8">
        <v>10</v>
      </c>
      <c r="N3" s="8">
        <v>11</v>
      </c>
      <c r="O3" s="8">
        <v>12</v>
      </c>
      <c r="P3" s="8">
        <v>13</v>
      </c>
      <c r="Q3" s="8">
        <v>14</v>
      </c>
      <c r="R3" s="8">
        <v>15</v>
      </c>
      <c r="S3" s="8">
        <v>16</v>
      </c>
      <c r="T3" s="8">
        <v>17</v>
      </c>
      <c r="U3" s="8">
        <v>18</v>
      </c>
      <c r="V3" s="8">
        <v>19</v>
      </c>
      <c r="W3" s="8">
        <v>20</v>
      </c>
      <c r="X3" s="8">
        <v>21</v>
      </c>
      <c r="Y3" s="8">
        <v>22</v>
      </c>
      <c r="Z3" s="8">
        <v>23</v>
      </c>
      <c r="AA3" s="8">
        <v>24</v>
      </c>
      <c r="AB3" s="8">
        <v>25</v>
      </c>
      <c r="AC3" s="8">
        <v>26</v>
      </c>
      <c r="AD3" s="8">
        <v>27</v>
      </c>
      <c r="AE3" s="8">
        <v>28</v>
      </c>
      <c r="AF3" s="8">
        <v>29</v>
      </c>
      <c r="AG3" s="8">
        <v>30</v>
      </c>
      <c r="AH3" s="8">
        <v>31</v>
      </c>
      <c r="AI3" s="8">
        <v>32</v>
      </c>
      <c r="AJ3" s="8">
        <v>33</v>
      </c>
      <c r="AK3" s="8">
        <v>34</v>
      </c>
      <c r="AL3" s="8">
        <v>35</v>
      </c>
      <c r="AM3" s="8">
        <v>36</v>
      </c>
      <c r="AN3" s="8">
        <v>37</v>
      </c>
      <c r="AO3" s="8">
        <v>38</v>
      </c>
      <c r="AP3" s="8">
        <v>39</v>
      </c>
      <c r="AQ3" s="8">
        <v>40</v>
      </c>
      <c r="AR3" s="8">
        <v>41</v>
      </c>
      <c r="AS3" s="8">
        <v>42</v>
      </c>
      <c r="AT3" s="8">
        <v>43</v>
      </c>
      <c r="AU3" s="8">
        <v>44</v>
      </c>
      <c r="AV3" s="8">
        <v>45</v>
      </c>
      <c r="AW3" s="8">
        <v>46</v>
      </c>
      <c r="AX3" s="8">
        <v>47</v>
      </c>
      <c r="AY3" s="8">
        <v>48</v>
      </c>
      <c r="AZ3" s="8">
        <v>49</v>
      </c>
      <c r="BA3" s="8">
        <v>50</v>
      </c>
      <c r="BB3" s="8">
        <v>51</v>
      </c>
      <c r="BC3" s="8">
        <v>52</v>
      </c>
      <c r="BD3" s="8">
        <v>53</v>
      </c>
      <c r="BE3" s="8">
        <v>54</v>
      </c>
      <c r="BF3" s="8">
        <v>55</v>
      </c>
      <c r="BG3" s="8">
        <v>56</v>
      </c>
      <c r="BH3" s="8">
        <v>57</v>
      </c>
      <c r="BI3" s="8">
        <v>58</v>
      </c>
      <c r="BJ3" s="8">
        <v>59</v>
      </c>
      <c r="BK3" s="8">
        <v>60</v>
      </c>
      <c r="BL3" s="8">
        <v>61</v>
      </c>
      <c r="BM3" s="8">
        <v>62</v>
      </c>
      <c r="BN3" s="8">
        <v>63</v>
      </c>
      <c r="BO3" s="8">
        <v>64</v>
      </c>
      <c r="BP3" s="8">
        <v>65</v>
      </c>
      <c r="BQ3" s="8">
        <v>66</v>
      </c>
      <c r="BR3" s="8">
        <v>67</v>
      </c>
      <c r="BS3" s="8">
        <v>68</v>
      </c>
      <c r="BT3" s="8">
        <v>69</v>
      </c>
      <c r="BU3" s="8">
        <v>70</v>
      </c>
      <c r="BV3" s="8">
        <v>71</v>
      </c>
      <c r="BW3" s="8">
        <v>72</v>
      </c>
    </row>
    <row r="4" spans="1:75" x14ac:dyDescent="0.2">
      <c r="A4" t="s">
        <v>49</v>
      </c>
      <c r="B4" s="9">
        <v>6</v>
      </c>
      <c r="C4" s="9">
        <v>10</v>
      </c>
      <c r="D4" s="9" t="s">
        <v>399</v>
      </c>
      <c r="E4" s="9" t="s">
        <v>400</v>
      </c>
      <c r="F4" s="9" t="s">
        <v>401</v>
      </c>
      <c r="G4" s="9" t="s">
        <v>402</v>
      </c>
      <c r="H4" s="9" t="s">
        <v>403</v>
      </c>
      <c r="I4" s="9" t="s">
        <v>404</v>
      </c>
      <c r="J4" s="9" t="s">
        <v>405</v>
      </c>
      <c r="K4" s="9" t="s">
        <v>406</v>
      </c>
      <c r="L4" s="9" t="s">
        <v>407</v>
      </c>
      <c r="M4" s="9" t="s">
        <v>408</v>
      </c>
      <c r="N4" s="9" t="s">
        <v>409</v>
      </c>
      <c r="O4" s="9" t="s">
        <v>410</v>
      </c>
      <c r="P4" s="9" t="s">
        <v>411</v>
      </c>
      <c r="Q4" s="9" t="s">
        <v>412</v>
      </c>
      <c r="R4" s="9" t="s">
        <v>413</v>
      </c>
      <c r="S4" s="9" t="s">
        <v>414</v>
      </c>
      <c r="T4" s="9"/>
      <c r="U4" s="9"/>
      <c r="V4" s="9"/>
      <c r="W4" s="9"/>
      <c r="X4" s="9"/>
      <c r="Y4" s="9"/>
      <c r="Z4" s="9"/>
      <c r="AA4" s="9"/>
      <c r="AB4" s="9"/>
      <c r="AC4" s="9"/>
      <c r="AD4" s="9"/>
      <c r="AE4" s="9"/>
      <c r="AF4" s="9"/>
      <c r="AG4" s="9"/>
      <c r="AH4" s="9"/>
      <c r="AI4" s="9"/>
    </row>
    <row r="5" spans="1:75" x14ac:dyDescent="0.2">
      <c r="A5" t="s">
        <v>52</v>
      </c>
      <c r="B5" s="9">
        <v>12</v>
      </c>
      <c r="C5" s="9">
        <v>4</v>
      </c>
      <c r="D5" s="9" t="s">
        <v>399</v>
      </c>
      <c r="E5" s="9" t="s">
        <v>400</v>
      </c>
      <c r="F5" s="9" t="s">
        <v>401</v>
      </c>
      <c r="G5" s="9" t="s">
        <v>402</v>
      </c>
      <c r="H5" s="9" t="s">
        <v>403</v>
      </c>
      <c r="I5" s="9" t="s">
        <v>404</v>
      </c>
      <c r="J5" s="9" t="s">
        <v>415</v>
      </c>
      <c r="K5" s="9" t="s">
        <v>416</v>
      </c>
      <c r="L5" s="9" t="s">
        <v>417</v>
      </c>
      <c r="M5" s="9" t="s">
        <v>418</v>
      </c>
      <c r="N5" s="9" t="s">
        <v>419</v>
      </c>
      <c r="O5" s="9" t="s">
        <v>420</v>
      </c>
      <c r="P5" s="9" t="s">
        <v>405</v>
      </c>
      <c r="Q5" s="9" t="s">
        <v>406</v>
      </c>
      <c r="R5" s="9" t="s">
        <v>407</v>
      </c>
      <c r="S5" s="9" t="s">
        <v>408</v>
      </c>
      <c r="T5" s="9"/>
      <c r="U5" s="9"/>
      <c r="V5" s="9"/>
      <c r="W5" s="9"/>
      <c r="X5" s="9"/>
      <c r="Y5" s="9"/>
      <c r="Z5" s="9"/>
      <c r="AA5" s="9"/>
      <c r="AB5" s="9"/>
      <c r="AC5" s="9"/>
      <c r="AD5" s="9"/>
      <c r="AE5" s="9"/>
      <c r="AF5" s="9"/>
      <c r="AG5" s="9"/>
      <c r="AH5" s="9"/>
      <c r="AI5" s="9"/>
    </row>
    <row r="6" spans="1:75" x14ac:dyDescent="0.2">
      <c r="A6" t="s">
        <v>54</v>
      </c>
      <c r="B6" s="9">
        <v>4</v>
      </c>
      <c r="C6" s="9">
        <v>12</v>
      </c>
      <c r="D6" s="9" t="s">
        <v>399</v>
      </c>
      <c r="E6" s="9" t="s">
        <v>400</v>
      </c>
      <c r="F6" s="9" t="s">
        <v>401</v>
      </c>
      <c r="G6" s="9" t="s">
        <v>402</v>
      </c>
      <c r="H6" s="9" t="s">
        <v>405</v>
      </c>
      <c r="I6" s="9" t="s">
        <v>406</v>
      </c>
      <c r="J6" s="9" t="s">
        <v>407</v>
      </c>
      <c r="K6" s="9" t="s">
        <v>408</v>
      </c>
      <c r="L6" s="9" t="s">
        <v>409</v>
      </c>
      <c r="M6" s="9" t="s">
        <v>410</v>
      </c>
      <c r="N6" s="9" t="s">
        <v>411</v>
      </c>
      <c r="O6" s="9" t="s">
        <v>412</v>
      </c>
      <c r="P6" s="9" t="s">
        <v>413</v>
      </c>
      <c r="Q6" s="9" t="s">
        <v>414</v>
      </c>
      <c r="R6" s="9" t="s">
        <v>421</v>
      </c>
      <c r="S6" s="9" t="s">
        <v>422</v>
      </c>
      <c r="T6" s="9"/>
      <c r="U6" s="9"/>
      <c r="V6" s="9"/>
      <c r="W6" s="9"/>
      <c r="X6" s="9"/>
      <c r="Y6" s="9"/>
      <c r="Z6" s="9"/>
      <c r="AA6" s="9"/>
      <c r="AB6" s="9"/>
      <c r="AC6" s="9"/>
      <c r="AD6" s="9"/>
      <c r="AE6" s="9"/>
      <c r="AF6" s="9"/>
      <c r="AG6" s="9"/>
      <c r="AH6" s="9"/>
      <c r="AI6" s="9"/>
    </row>
    <row r="7" spans="1:75" x14ac:dyDescent="0.2">
      <c r="A7" t="s">
        <v>13</v>
      </c>
      <c r="B7" s="9">
        <v>16</v>
      </c>
      <c r="C7" s="9">
        <v>0</v>
      </c>
      <c r="D7" s="9" t="s">
        <v>399</v>
      </c>
      <c r="E7" s="9" t="s">
        <v>400</v>
      </c>
      <c r="F7" s="9" t="s">
        <v>401</v>
      </c>
      <c r="G7" s="9" t="s">
        <v>402</v>
      </c>
      <c r="H7" s="9" t="s">
        <v>403</v>
      </c>
      <c r="I7" s="9" t="s">
        <v>404</v>
      </c>
      <c r="J7" s="9" t="s">
        <v>415</v>
      </c>
      <c r="K7" s="9" t="s">
        <v>416</v>
      </c>
      <c r="L7" s="9" t="s">
        <v>417</v>
      </c>
      <c r="M7" s="9" t="s">
        <v>418</v>
      </c>
      <c r="N7" s="9" t="s">
        <v>419</v>
      </c>
      <c r="O7" s="9" t="s">
        <v>420</v>
      </c>
      <c r="P7" s="9" t="s">
        <v>423</v>
      </c>
      <c r="Q7" s="9" t="s">
        <v>424</v>
      </c>
      <c r="R7" s="9" t="s">
        <v>425</v>
      </c>
      <c r="S7" s="9" t="s">
        <v>426</v>
      </c>
      <c r="T7" s="9"/>
      <c r="U7" s="9"/>
      <c r="V7" s="9"/>
      <c r="W7" s="9"/>
      <c r="X7" s="9"/>
      <c r="Y7" s="9"/>
      <c r="Z7" s="9"/>
      <c r="AA7" s="9"/>
      <c r="AB7" s="9"/>
      <c r="AC7" s="9"/>
      <c r="AD7" s="9"/>
      <c r="AE7" s="9"/>
      <c r="AF7" s="9"/>
      <c r="AG7" s="9"/>
      <c r="AH7" s="9"/>
      <c r="AI7" s="9"/>
    </row>
    <row r="8" spans="1:75" x14ac:dyDescent="0.2">
      <c r="A8" t="s">
        <v>58</v>
      </c>
      <c r="B8" s="9">
        <v>0</v>
      </c>
      <c r="C8" s="9">
        <v>16</v>
      </c>
      <c r="D8" s="9" t="s">
        <v>405</v>
      </c>
      <c r="E8" s="9" t="s">
        <v>406</v>
      </c>
      <c r="F8" s="9" t="s">
        <v>407</v>
      </c>
      <c r="G8" s="9" t="s">
        <v>408</v>
      </c>
      <c r="H8" s="9" t="s">
        <v>409</v>
      </c>
      <c r="I8" s="9" t="s">
        <v>410</v>
      </c>
      <c r="J8" s="9" t="s">
        <v>411</v>
      </c>
      <c r="K8" s="9" t="s">
        <v>412</v>
      </c>
      <c r="L8" s="9" t="s">
        <v>413</v>
      </c>
      <c r="M8" s="9" t="s">
        <v>414</v>
      </c>
      <c r="N8" s="9" t="s">
        <v>421</v>
      </c>
      <c r="O8" s="9" t="s">
        <v>422</v>
      </c>
      <c r="P8" s="9" t="s">
        <v>427</v>
      </c>
      <c r="Q8" s="9" t="s">
        <v>428</v>
      </c>
      <c r="R8" s="9" t="s">
        <v>429</v>
      </c>
      <c r="S8" s="9" t="s">
        <v>430</v>
      </c>
      <c r="T8" s="9"/>
      <c r="U8" s="9"/>
      <c r="V8" s="9"/>
      <c r="W8" s="9"/>
      <c r="X8" s="9"/>
      <c r="Y8" s="9"/>
      <c r="Z8" s="9"/>
      <c r="AA8" s="9"/>
      <c r="AB8" s="9"/>
      <c r="AC8" s="9"/>
      <c r="AD8" s="9"/>
      <c r="AE8" s="9"/>
      <c r="AF8" s="9"/>
      <c r="AG8" s="9"/>
      <c r="AH8" s="9"/>
      <c r="AI8" s="9"/>
    </row>
    <row r="9" spans="1:75" x14ac:dyDescent="0.2">
      <c r="A9" t="s">
        <v>21</v>
      </c>
      <c r="B9" s="9">
        <v>8</v>
      </c>
      <c r="C9" s="9">
        <v>8</v>
      </c>
      <c r="D9" s="9" t="s">
        <v>399</v>
      </c>
      <c r="E9" s="9" t="s">
        <v>400</v>
      </c>
      <c r="F9" s="9" t="s">
        <v>401</v>
      </c>
      <c r="G9" s="9" t="s">
        <v>402</v>
      </c>
      <c r="H9" s="9" t="s">
        <v>403</v>
      </c>
      <c r="I9" s="9" t="s">
        <v>404</v>
      </c>
      <c r="J9" s="9" t="s">
        <v>415</v>
      </c>
      <c r="K9" s="9" t="s">
        <v>416</v>
      </c>
      <c r="L9" s="9" t="s">
        <v>405</v>
      </c>
      <c r="M9" s="9" t="s">
        <v>406</v>
      </c>
      <c r="N9" s="9" t="s">
        <v>407</v>
      </c>
      <c r="O9" s="9" t="s">
        <v>408</v>
      </c>
      <c r="P9" s="9" t="s">
        <v>409</v>
      </c>
      <c r="Q9" s="9" t="s">
        <v>410</v>
      </c>
      <c r="R9" s="9" t="s">
        <v>411</v>
      </c>
      <c r="S9" s="9" t="s">
        <v>412</v>
      </c>
      <c r="T9" s="9"/>
      <c r="U9" s="9"/>
      <c r="V9" s="9"/>
      <c r="W9" s="9"/>
      <c r="X9" s="9"/>
      <c r="Y9" s="9"/>
      <c r="Z9" s="9"/>
      <c r="AA9" s="9"/>
      <c r="AB9" s="9"/>
      <c r="AC9" s="9"/>
      <c r="AD9" s="9"/>
      <c r="AE9" s="9"/>
      <c r="AF9" s="9"/>
      <c r="AG9" s="9"/>
      <c r="AH9" s="9"/>
      <c r="AI9" s="9"/>
    </row>
    <row r="10" spans="1:75" x14ac:dyDescent="0.2">
      <c r="A10" t="s">
        <v>62</v>
      </c>
      <c r="B10" s="9">
        <v>8</v>
      </c>
      <c r="C10" s="9">
        <v>8</v>
      </c>
      <c r="D10" s="9" t="s">
        <v>399</v>
      </c>
      <c r="E10" s="9" t="s">
        <v>400</v>
      </c>
      <c r="F10" s="9" t="s">
        <v>401</v>
      </c>
      <c r="G10" s="9" t="s">
        <v>402</v>
      </c>
      <c r="H10" s="9" t="s">
        <v>403</v>
      </c>
      <c r="I10" s="9" t="s">
        <v>404</v>
      </c>
      <c r="J10" s="9" t="s">
        <v>415</v>
      </c>
      <c r="K10" s="9" t="s">
        <v>416</v>
      </c>
      <c r="L10" s="9" t="s">
        <v>405</v>
      </c>
      <c r="M10" s="9" t="s">
        <v>406</v>
      </c>
      <c r="N10" s="9" t="s">
        <v>407</v>
      </c>
      <c r="O10" s="9" t="s">
        <v>408</v>
      </c>
      <c r="P10" s="9" t="s">
        <v>409</v>
      </c>
      <c r="Q10" s="9" t="s">
        <v>410</v>
      </c>
      <c r="R10" s="9" t="s">
        <v>411</v>
      </c>
      <c r="S10" s="9" t="s">
        <v>412</v>
      </c>
      <c r="T10" s="9"/>
      <c r="U10" s="9"/>
      <c r="V10" s="9"/>
      <c r="W10" s="9"/>
      <c r="X10" s="9"/>
      <c r="Y10" s="9"/>
      <c r="Z10" s="9"/>
      <c r="AA10" s="9"/>
      <c r="AB10" s="9"/>
      <c r="AC10" s="9"/>
      <c r="AD10" s="9"/>
      <c r="AE10" s="9"/>
      <c r="AF10" s="9"/>
      <c r="AG10" s="9"/>
      <c r="AH10" s="9"/>
      <c r="AI10" s="9"/>
    </row>
    <row r="11" spans="1:75" x14ac:dyDescent="0.2">
      <c r="A11" t="s">
        <v>72</v>
      </c>
      <c r="B11" s="9">
        <v>5</v>
      </c>
      <c r="C11" s="9">
        <v>11</v>
      </c>
      <c r="D11" s="9" t="s">
        <v>399</v>
      </c>
      <c r="E11" s="9" t="s">
        <v>400</v>
      </c>
      <c r="F11" s="9" t="s">
        <v>401</v>
      </c>
      <c r="G11" s="9" t="s">
        <v>402</v>
      </c>
      <c r="H11" s="9" t="s">
        <v>403</v>
      </c>
      <c r="I11" s="9" t="s">
        <v>405</v>
      </c>
      <c r="J11" s="9" t="s">
        <v>406</v>
      </c>
      <c r="K11" s="9" t="s">
        <v>407</v>
      </c>
      <c r="L11" s="9" t="s">
        <v>408</v>
      </c>
      <c r="M11" s="9" t="s">
        <v>409</v>
      </c>
      <c r="N11" s="9" t="s">
        <v>410</v>
      </c>
      <c r="O11" s="9" t="s">
        <v>411</v>
      </c>
      <c r="P11" s="9" t="s">
        <v>412</v>
      </c>
      <c r="Q11" s="9" t="s">
        <v>413</v>
      </c>
      <c r="R11" s="9" t="s">
        <v>414</v>
      </c>
      <c r="S11" s="9" t="s">
        <v>421</v>
      </c>
      <c r="T11" s="9"/>
      <c r="U11" s="9"/>
      <c r="V11" s="9"/>
      <c r="W11" s="9"/>
      <c r="X11" s="9"/>
      <c r="Y11" s="9"/>
      <c r="Z11" s="9"/>
      <c r="AA11" s="9"/>
      <c r="AB11" s="9"/>
      <c r="AC11" s="9"/>
      <c r="AD11" s="9"/>
      <c r="AE11" s="9"/>
      <c r="AF11" s="9"/>
      <c r="AG11" s="9"/>
      <c r="AH11" s="9"/>
      <c r="AI11" s="9"/>
    </row>
    <row r="12" spans="1:75" x14ac:dyDescent="0.2">
      <c r="A12" t="s">
        <v>87</v>
      </c>
      <c r="B12" s="9">
        <v>5</v>
      </c>
      <c r="C12" s="9">
        <v>11</v>
      </c>
      <c r="D12" s="9" t="s">
        <v>399</v>
      </c>
      <c r="E12" s="9" t="s">
        <v>400</v>
      </c>
      <c r="F12" s="9" t="s">
        <v>401</v>
      </c>
      <c r="G12" s="9" t="s">
        <v>402</v>
      </c>
      <c r="H12" s="9" t="s">
        <v>403</v>
      </c>
      <c r="I12" s="9" t="s">
        <v>405</v>
      </c>
      <c r="J12" s="9" t="s">
        <v>406</v>
      </c>
      <c r="K12" s="9" t="s">
        <v>407</v>
      </c>
      <c r="L12" s="9" t="s">
        <v>408</v>
      </c>
      <c r="M12" s="9" t="s">
        <v>409</v>
      </c>
      <c r="N12" s="9" t="s">
        <v>410</v>
      </c>
      <c r="O12" s="9" t="s">
        <v>411</v>
      </c>
      <c r="P12" s="9" t="s">
        <v>412</v>
      </c>
      <c r="Q12" s="9" t="s">
        <v>413</v>
      </c>
      <c r="R12" s="9" t="s">
        <v>414</v>
      </c>
      <c r="S12" s="9" t="s">
        <v>421</v>
      </c>
      <c r="T12" s="9"/>
      <c r="U12" s="9"/>
      <c r="V12" s="9"/>
      <c r="W12" s="9"/>
      <c r="X12" s="9"/>
      <c r="Y12" s="9"/>
      <c r="Z12" s="9"/>
      <c r="AA12" s="9"/>
      <c r="AB12" s="9"/>
      <c r="AC12" s="9"/>
      <c r="AD12" s="9"/>
      <c r="AE12" s="9"/>
      <c r="AF12" s="9"/>
      <c r="AG12" s="9"/>
      <c r="AH12" s="9"/>
      <c r="AI12" s="9"/>
    </row>
    <row r="13" spans="1:75" x14ac:dyDescent="0.2">
      <c r="A13" t="s">
        <v>26</v>
      </c>
      <c r="B13" s="9">
        <v>24</v>
      </c>
      <c r="C13" s="9">
        <v>48</v>
      </c>
      <c r="D13" s="9" t="s">
        <v>399</v>
      </c>
      <c r="E13" s="9" t="s">
        <v>400</v>
      </c>
      <c r="F13" s="9" t="s">
        <v>401</v>
      </c>
      <c r="G13" s="9" t="s">
        <v>402</v>
      </c>
      <c r="H13" s="9" t="s">
        <v>403</v>
      </c>
      <c r="I13" s="9" t="s">
        <v>404</v>
      </c>
      <c r="J13" s="9" t="s">
        <v>415</v>
      </c>
      <c r="K13" s="9" t="s">
        <v>416</v>
      </c>
      <c r="L13" s="9" t="s">
        <v>417</v>
      </c>
      <c r="M13" s="9" t="s">
        <v>418</v>
      </c>
      <c r="N13" s="9" t="s">
        <v>419</v>
      </c>
      <c r="O13" s="9" t="s">
        <v>420</v>
      </c>
      <c r="P13" s="9" t="s">
        <v>423</v>
      </c>
      <c r="Q13" s="9" t="s">
        <v>424</v>
      </c>
      <c r="R13" s="9" t="s">
        <v>425</v>
      </c>
      <c r="S13" s="9" t="s">
        <v>426</v>
      </c>
      <c r="T13" s="9" t="s">
        <v>431</v>
      </c>
      <c r="U13" s="9" t="s">
        <v>432</v>
      </c>
      <c r="V13" s="9" t="s">
        <v>433</v>
      </c>
      <c r="W13" s="9" t="s">
        <v>434</v>
      </c>
      <c r="X13" s="9" t="s">
        <v>435</v>
      </c>
      <c r="Y13" s="9" t="s">
        <v>436</v>
      </c>
      <c r="Z13" s="9" t="s">
        <v>437</v>
      </c>
      <c r="AA13" s="9" t="s">
        <v>438</v>
      </c>
      <c r="AB13" s="9" t="s">
        <v>405</v>
      </c>
      <c r="AC13" s="9" t="s">
        <v>406</v>
      </c>
      <c r="AD13" s="9" t="s">
        <v>407</v>
      </c>
      <c r="AE13" s="9" t="s">
        <v>408</v>
      </c>
      <c r="AF13" s="9" t="s">
        <v>409</v>
      </c>
      <c r="AG13" s="9" t="s">
        <v>410</v>
      </c>
      <c r="AH13" s="9" t="s">
        <v>411</v>
      </c>
      <c r="AI13" s="9" t="s">
        <v>412</v>
      </c>
      <c r="AJ13" s="9" t="s">
        <v>413</v>
      </c>
      <c r="AK13" s="9" t="s">
        <v>414</v>
      </c>
      <c r="AL13" s="9" t="s">
        <v>421</v>
      </c>
      <c r="AM13" s="9" t="s">
        <v>422</v>
      </c>
      <c r="AN13" s="9" t="s">
        <v>427</v>
      </c>
      <c r="AO13" s="9" t="s">
        <v>428</v>
      </c>
      <c r="AP13" s="9" t="s">
        <v>429</v>
      </c>
      <c r="AQ13" s="9" t="s">
        <v>430</v>
      </c>
      <c r="AR13" s="9" t="s">
        <v>439</v>
      </c>
      <c r="AS13" s="9" t="s">
        <v>440</v>
      </c>
      <c r="AT13" s="9" t="s">
        <v>441</v>
      </c>
      <c r="AU13" s="9" t="s">
        <v>442</v>
      </c>
      <c r="AV13" s="9" t="s">
        <v>443</v>
      </c>
      <c r="AW13" s="9" t="s">
        <v>444</v>
      </c>
      <c r="AX13" s="9" t="s">
        <v>445</v>
      </c>
      <c r="AY13" s="9" t="s">
        <v>446</v>
      </c>
      <c r="AZ13" s="9" t="s">
        <v>447</v>
      </c>
      <c r="BA13" s="9" t="s">
        <v>448</v>
      </c>
      <c r="BB13" s="9" t="s">
        <v>449</v>
      </c>
      <c r="BC13" s="9" t="s">
        <v>450</v>
      </c>
      <c r="BD13" s="9" t="s">
        <v>451</v>
      </c>
      <c r="BE13" s="9" t="s">
        <v>452</v>
      </c>
      <c r="BF13" s="9" t="s">
        <v>453</v>
      </c>
      <c r="BG13" s="9" t="s">
        <v>454</v>
      </c>
      <c r="BH13" s="9" t="s">
        <v>455</v>
      </c>
      <c r="BI13" s="9" t="s">
        <v>456</v>
      </c>
      <c r="BJ13" s="9" t="s">
        <v>457</v>
      </c>
      <c r="BK13" s="9" t="s">
        <v>458</v>
      </c>
      <c r="BL13" s="9" t="s">
        <v>459</v>
      </c>
      <c r="BM13" s="9" t="s">
        <v>460</v>
      </c>
      <c r="BN13" s="9" t="s">
        <v>461</v>
      </c>
      <c r="BO13" s="9" t="s">
        <v>462</v>
      </c>
      <c r="BP13" s="9" t="s">
        <v>463</v>
      </c>
      <c r="BQ13" s="9" t="s">
        <v>464</v>
      </c>
      <c r="BR13" s="9" t="s">
        <v>465</v>
      </c>
      <c r="BS13" s="9" t="s">
        <v>466</v>
      </c>
      <c r="BT13" s="9" t="s">
        <v>467</v>
      </c>
      <c r="BU13" s="9" t="s">
        <v>468</v>
      </c>
      <c r="BV13" s="9" t="s">
        <v>469</v>
      </c>
      <c r="BW13" s="9" t="s">
        <v>470</v>
      </c>
    </row>
    <row r="14" spans="1:75" x14ac:dyDescent="0.2">
      <c r="A14" t="s">
        <v>74</v>
      </c>
    </row>
    <row r="15" spans="1:75" x14ac:dyDescent="0.2">
      <c r="A15" t="s">
        <v>90</v>
      </c>
      <c r="B15" s="9">
        <v>16</v>
      </c>
      <c r="C15" s="9">
        <v>0</v>
      </c>
      <c r="D15" s="9" t="s">
        <v>431</v>
      </c>
      <c r="E15" s="9" t="s">
        <v>432</v>
      </c>
      <c r="F15" s="9" t="s">
        <v>433</v>
      </c>
      <c r="G15" s="9" t="s">
        <v>434</v>
      </c>
      <c r="H15" s="9" t="s">
        <v>435</v>
      </c>
      <c r="I15" s="9" t="s">
        <v>436</v>
      </c>
      <c r="J15" s="9" t="s">
        <v>437</v>
      </c>
      <c r="K15" s="9" t="s">
        <v>438</v>
      </c>
      <c r="L15" s="9" t="s">
        <v>471</v>
      </c>
      <c r="M15" s="9" t="s">
        <v>472</v>
      </c>
      <c r="N15" s="9" t="s">
        <v>473</v>
      </c>
      <c r="O15" s="9" t="s">
        <v>474</v>
      </c>
      <c r="P15" s="9" t="s">
        <v>475</v>
      </c>
      <c r="Q15" s="9" t="s">
        <v>476</v>
      </c>
      <c r="R15" s="9" t="s">
        <v>477</v>
      </c>
      <c r="S15" s="9" t="s">
        <v>478</v>
      </c>
      <c r="T15" s="9"/>
      <c r="U15" s="9"/>
      <c r="V15" s="9"/>
      <c r="W15" s="9"/>
      <c r="X15" s="9"/>
      <c r="Y15" s="9"/>
      <c r="Z15" s="9"/>
      <c r="AA15" s="9"/>
      <c r="AB15" s="9"/>
      <c r="AC15" s="9"/>
      <c r="AD15" s="9"/>
      <c r="AE15" s="9"/>
      <c r="AF15" s="9"/>
      <c r="AG15" s="9"/>
      <c r="AH15" s="9"/>
      <c r="AI15" s="9"/>
    </row>
    <row r="16" spans="1:75" x14ac:dyDescent="0.2">
      <c r="A16" t="s">
        <v>97</v>
      </c>
      <c r="B16" s="9">
        <v>16</v>
      </c>
      <c r="C16" s="9">
        <v>0</v>
      </c>
      <c r="D16" s="9" t="s">
        <v>431</v>
      </c>
      <c r="E16" s="9" t="s">
        <v>432</v>
      </c>
      <c r="F16" s="9" t="s">
        <v>433</v>
      </c>
      <c r="G16" s="9" t="s">
        <v>434</v>
      </c>
      <c r="H16" s="9" t="s">
        <v>435</v>
      </c>
      <c r="I16" s="9" t="s">
        <v>436</v>
      </c>
      <c r="J16" s="9" t="s">
        <v>437</v>
      </c>
      <c r="K16" s="9" t="s">
        <v>438</v>
      </c>
      <c r="L16" s="9" t="s">
        <v>471</v>
      </c>
      <c r="M16" s="9" t="s">
        <v>472</v>
      </c>
      <c r="N16" s="9" t="s">
        <v>473</v>
      </c>
      <c r="O16" s="9" t="s">
        <v>474</v>
      </c>
      <c r="P16" s="9" t="s">
        <v>475</v>
      </c>
      <c r="Q16" s="9" t="s">
        <v>476</v>
      </c>
      <c r="R16" s="9" t="s">
        <v>477</v>
      </c>
      <c r="S16" s="9" t="s">
        <v>478</v>
      </c>
      <c r="T16" s="9"/>
      <c r="U16" s="9"/>
      <c r="V16" s="9"/>
      <c r="W16" s="9"/>
      <c r="X16" s="9"/>
      <c r="Y16" s="9"/>
      <c r="Z16" s="9"/>
      <c r="AA16" s="9"/>
      <c r="AB16" s="9"/>
      <c r="AC16" s="9"/>
      <c r="AD16" s="9"/>
      <c r="AE16" s="9"/>
      <c r="AF16" s="9"/>
      <c r="AG16" s="9"/>
      <c r="AH16" s="9"/>
      <c r="AI16" s="9"/>
    </row>
    <row r="17" spans="1:35" x14ac:dyDescent="0.2">
      <c r="A17" t="s">
        <v>109</v>
      </c>
      <c r="B17" s="9">
        <v>16</v>
      </c>
      <c r="C17" s="9">
        <v>0</v>
      </c>
      <c r="D17" s="9" t="s">
        <v>431</v>
      </c>
      <c r="E17" s="9" t="s">
        <v>432</v>
      </c>
      <c r="F17" s="9" t="s">
        <v>433</v>
      </c>
      <c r="G17" s="9" t="s">
        <v>434</v>
      </c>
      <c r="H17" s="9" t="s">
        <v>435</v>
      </c>
      <c r="I17" s="9" t="s">
        <v>436</v>
      </c>
      <c r="J17" s="9" t="s">
        <v>437</v>
      </c>
      <c r="K17" s="9" t="s">
        <v>438</v>
      </c>
      <c r="L17" s="9" t="s">
        <v>471</v>
      </c>
      <c r="M17" s="9" t="s">
        <v>472</v>
      </c>
      <c r="N17" s="9" t="s">
        <v>473</v>
      </c>
      <c r="O17" s="9" t="s">
        <v>474</v>
      </c>
      <c r="P17" s="9" t="s">
        <v>475</v>
      </c>
      <c r="Q17" s="9" t="s">
        <v>476</v>
      </c>
      <c r="R17" s="9" t="s">
        <v>477</v>
      </c>
      <c r="S17" s="9" t="s">
        <v>478</v>
      </c>
      <c r="T17" s="9"/>
      <c r="U17" s="9"/>
      <c r="V17" s="9"/>
      <c r="W17" s="9"/>
      <c r="X17" s="9"/>
      <c r="Y17" s="9"/>
      <c r="Z17" s="9"/>
      <c r="AA17" s="9"/>
      <c r="AB17" s="9"/>
      <c r="AC17" s="9"/>
      <c r="AD17" s="9"/>
      <c r="AE17" s="9"/>
      <c r="AF17" s="9"/>
      <c r="AG17" s="9"/>
      <c r="AH17" s="9"/>
      <c r="AI17" s="9"/>
    </row>
    <row r="18" spans="1:35" x14ac:dyDescent="0.2">
      <c r="A18" t="s">
        <v>115</v>
      </c>
      <c r="B18" s="9">
        <v>16</v>
      </c>
      <c r="C18" s="9">
        <v>0</v>
      </c>
      <c r="D18" s="9" t="s">
        <v>431</v>
      </c>
      <c r="E18" s="9" t="s">
        <v>432</v>
      </c>
      <c r="F18" s="9" t="s">
        <v>433</v>
      </c>
      <c r="G18" s="9" t="s">
        <v>434</v>
      </c>
      <c r="H18" s="9" t="s">
        <v>435</v>
      </c>
      <c r="I18" s="9" t="s">
        <v>436</v>
      </c>
      <c r="J18" s="9" t="s">
        <v>437</v>
      </c>
      <c r="K18" s="9" t="s">
        <v>438</v>
      </c>
      <c r="L18" s="9" t="s">
        <v>471</v>
      </c>
      <c r="M18" s="9" t="s">
        <v>472</v>
      </c>
      <c r="N18" s="9" t="s">
        <v>473</v>
      </c>
      <c r="O18" s="9" t="s">
        <v>474</v>
      </c>
      <c r="P18" s="9" t="s">
        <v>475</v>
      </c>
      <c r="Q18" s="9" t="s">
        <v>476</v>
      </c>
      <c r="R18" s="9" t="s">
        <v>477</v>
      </c>
      <c r="S18" s="9" t="s">
        <v>478</v>
      </c>
      <c r="T18" s="9"/>
      <c r="U18" s="9"/>
      <c r="V18" s="9"/>
      <c r="W18" s="9"/>
      <c r="X18" s="9"/>
      <c r="Y18" s="9"/>
      <c r="Z18" s="9"/>
      <c r="AA18" s="9"/>
      <c r="AB18" s="9"/>
      <c r="AC18" s="9"/>
      <c r="AD18" s="9"/>
      <c r="AE18" s="9"/>
      <c r="AF18" s="9"/>
      <c r="AG18" s="9"/>
      <c r="AH18" s="9"/>
      <c r="AI18" s="9"/>
    </row>
    <row r="19" spans="1:35" x14ac:dyDescent="0.2">
      <c r="A19" t="s">
        <v>121</v>
      </c>
      <c r="B19" s="9">
        <v>16</v>
      </c>
      <c r="C19" s="9">
        <v>0</v>
      </c>
      <c r="D19" s="9" t="s">
        <v>431</v>
      </c>
      <c r="E19" s="9" t="s">
        <v>432</v>
      </c>
      <c r="F19" s="9" t="s">
        <v>433</v>
      </c>
      <c r="G19" s="9" t="s">
        <v>434</v>
      </c>
      <c r="H19" s="9" t="s">
        <v>435</v>
      </c>
      <c r="I19" s="9" t="s">
        <v>436</v>
      </c>
      <c r="J19" s="9" t="s">
        <v>437</v>
      </c>
      <c r="K19" s="9" t="s">
        <v>438</v>
      </c>
      <c r="L19" s="9" t="s">
        <v>471</v>
      </c>
      <c r="M19" s="9" t="s">
        <v>472</v>
      </c>
      <c r="N19" s="9" t="s">
        <v>473</v>
      </c>
      <c r="O19" s="9" t="s">
        <v>474</v>
      </c>
      <c r="P19" s="9" t="s">
        <v>475</v>
      </c>
      <c r="Q19" s="9" t="s">
        <v>476</v>
      </c>
      <c r="R19" s="9" t="s">
        <v>477</v>
      </c>
      <c r="S19" s="9" t="s">
        <v>478</v>
      </c>
      <c r="T19" s="9"/>
      <c r="U19" s="9"/>
      <c r="V19" s="9"/>
      <c r="W19" s="9"/>
      <c r="X19" s="9"/>
      <c r="Y19" s="9"/>
      <c r="Z19" s="9"/>
      <c r="AA19" s="9"/>
      <c r="AB19" s="9"/>
      <c r="AC19" s="9"/>
      <c r="AD19" s="9"/>
      <c r="AE19" s="9"/>
      <c r="AF19" s="9"/>
      <c r="AG19" s="9"/>
      <c r="AH19" s="9"/>
      <c r="AI19" s="9"/>
    </row>
    <row r="20" spans="1:35" x14ac:dyDescent="0.2">
      <c r="A20" t="s">
        <v>127</v>
      </c>
      <c r="B20" s="9">
        <v>16</v>
      </c>
      <c r="C20" s="9">
        <v>0</v>
      </c>
      <c r="D20" s="9" t="s">
        <v>431</v>
      </c>
      <c r="E20" s="9" t="s">
        <v>432</v>
      </c>
      <c r="F20" s="9" t="s">
        <v>433</v>
      </c>
      <c r="G20" s="9" t="s">
        <v>434</v>
      </c>
      <c r="H20" s="9" t="s">
        <v>435</v>
      </c>
      <c r="I20" s="9" t="s">
        <v>436</v>
      </c>
      <c r="J20" s="9" t="s">
        <v>437</v>
      </c>
      <c r="K20" s="9" t="s">
        <v>438</v>
      </c>
      <c r="L20" s="9" t="s">
        <v>471</v>
      </c>
      <c r="M20" s="9" t="s">
        <v>472</v>
      </c>
      <c r="N20" s="9" t="s">
        <v>473</v>
      </c>
      <c r="O20" s="9" t="s">
        <v>474</v>
      </c>
      <c r="P20" s="9" t="s">
        <v>475</v>
      </c>
      <c r="Q20" s="9" t="s">
        <v>476</v>
      </c>
      <c r="R20" s="9" t="s">
        <v>477</v>
      </c>
      <c r="S20" s="9" t="s">
        <v>478</v>
      </c>
      <c r="T20" s="9"/>
      <c r="U20" s="9"/>
      <c r="V20" s="9"/>
      <c r="W20" s="9"/>
      <c r="X20" s="9"/>
      <c r="Y20" s="9"/>
      <c r="Z20" s="9"/>
      <c r="AA20" s="9"/>
      <c r="AB20" s="9"/>
      <c r="AC20" s="9"/>
      <c r="AD20" s="9"/>
      <c r="AE20" s="9"/>
      <c r="AF20" s="9"/>
      <c r="AG20" s="9"/>
      <c r="AH20" s="9"/>
      <c r="AI20" s="9"/>
    </row>
    <row r="21" spans="1:35" x14ac:dyDescent="0.2">
      <c r="A21" t="s">
        <v>133</v>
      </c>
      <c r="B21" s="9">
        <v>16</v>
      </c>
      <c r="C21" s="9">
        <v>0</v>
      </c>
      <c r="D21" s="9" t="s">
        <v>431</v>
      </c>
      <c r="E21" s="9" t="s">
        <v>432</v>
      </c>
      <c r="F21" s="9" t="s">
        <v>433</v>
      </c>
      <c r="G21" s="9" t="s">
        <v>434</v>
      </c>
      <c r="H21" s="9" t="s">
        <v>435</v>
      </c>
      <c r="I21" s="9" t="s">
        <v>436</v>
      </c>
      <c r="J21" s="9" t="s">
        <v>437</v>
      </c>
      <c r="K21" s="9" t="s">
        <v>438</v>
      </c>
      <c r="L21" s="9" t="s">
        <v>471</v>
      </c>
      <c r="M21" s="9" t="s">
        <v>472</v>
      </c>
      <c r="N21" s="9" t="s">
        <v>473</v>
      </c>
      <c r="O21" s="9" t="s">
        <v>474</v>
      </c>
      <c r="P21" s="9" t="s">
        <v>475</v>
      </c>
      <c r="Q21" s="9" t="s">
        <v>476</v>
      </c>
      <c r="R21" s="9" t="s">
        <v>477</v>
      </c>
      <c r="S21" s="9" t="s">
        <v>478</v>
      </c>
      <c r="T21" s="9"/>
      <c r="U21" s="9"/>
      <c r="V21" s="9"/>
      <c r="W21" s="9"/>
      <c r="X21" s="9"/>
      <c r="Y21" s="9"/>
      <c r="Z21" s="9"/>
      <c r="AA21" s="9"/>
      <c r="AB21" s="9"/>
      <c r="AC21" s="9"/>
      <c r="AD21" s="9"/>
      <c r="AE21" s="9"/>
      <c r="AF21" s="9"/>
      <c r="AG21" s="9"/>
      <c r="AH21" s="9"/>
      <c r="AI21" s="9"/>
    </row>
    <row r="22" spans="1:35" x14ac:dyDescent="0.2">
      <c r="A22" t="s">
        <v>138</v>
      </c>
      <c r="B22" s="9">
        <v>16</v>
      </c>
      <c r="C22" s="9">
        <v>0</v>
      </c>
      <c r="D22" s="9" t="s">
        <v>431</v>
      </c>
      <c r="E22" s="9" t="s">
        <v>432</v>
      </c>
      <c r="F22" s="9" t="s">
        <v>433</v>
      </c>
      <c r="G22" s="9" t="s">
        <v>434</v>
      </c>
      <c r="H22" s="9" t="s">
        <v>435</v>
      </c>
      <c r="I22" s="9" t="s">
        <v>436</v>
      </c>
      <c r="J22" s="9" t="s">
        <v>437</v>
      </c>
      <c r="K22" s="9" t="s">
        <v>438</v>
      </c>
      <c r="L22" s="9" t="s">
        <v>471</v>
      </c>
      <c r="M22" s="9" t="s">
        <v>472</v>
      </c>
      <c r="N22" s="9" t="s">
        <v>473</v>
      </c>
      <c r="O22" s="9" t="s">
        <v>474</v>
      </c>
      <c r="P22" s="9" t="s">
        <v>475</v>
      </c>
      <c r="Q22" s="9" t="s">
        <v>476</v>
      </c>
      <c r="R22" s="9" t="s">
        <v>477</v>
      </c>
      <c r="S22" s="9" t="s">
        <v>478</v>
      </c>
      <c r="T22" s="9"/>
      <c r="U22" s="9"/>
      <c r="V22" s="9"/>
      <c r="W22" s="9"/>
      <c r="X22" s="9"/>
      <c r="Y22" s="9"/>
      <c r="Z22" s="9"/>
      <c r="AA22" s="9"/>
      <c r="AB22" s="9"/>
      <c r="AC22" s="9"/>
      <c r="AD22" s="9"/>
      <c r="AE22" s="9"/>
      <c r="AF22" s="9"/>
      <c r="AG22" s="9"/>
      <c r="AH22" s="9"/>
      <c r="AI22" s="9"/>
    </row>
    <row r="23" spans="1:35" x14ac:dyDescent="0.2">
      <c r="A23" t="s">
        <v>143</v>
      </c>
      <c r="B23" s="9">
        <v>0</v>
      </c>
      <c r="C23" s="9">
        <v>16</v>
      </c>
      <c r="D23" s="9" t="s">
        <v>439</v>
      </c>
      <c r="E23" s="9" t="s">
        <v>440</v>
      </c>
      <c r="F23" s="9" t="s">
        <v>441</v>
      </c>
      <c r="G23" s="9" t="s">
        <v>442</v>
      </c>
      <c r="H23" s="9" t="s">
        <v>443</v>
      </c>
      <c r="I23" s="9" t="s">
        <v>444</v>
      </c>
      <c r="J23" s="9" t="s">
        <v>445</v>
      </c>
      <c r="K23" s="9" t="s">
        <v>446</v>
      </c>
      <c r="L23" s="9" t="s">
        <v>447</v>
      </c>
      <c r="M23" s="9" t="s">
        <v>448</v>
      </c>
      <c r="N23" s="9" t="s">
        <v>449</v>
      </c>
      <c r="O23" s="9" t="s">
        <v>450</v>
      </c>
      <c r="P23" s="9" t="s">
        <v>451</v>
      </c>
      <c r="Q23" s="9" t="s">
        <v>452</v>
      </c>
      <c r="R23" s="9" t="s">
        <v>453</v>
      </c>
      <c r="S23" s="9" t="s">
        <v>454</v>
      </c>
      <c r="T23" s="9"/>
      <c r="U23" s="9"/>
      <c r="V23" s="9"/>
      <c r="W23" s="9"/>
      <c r="X23" s="9"/>
      <c r="Y23" s="9"/>
      <c r="Z23" s="9"/>
      <c r="AA23" s="9"/>
      <c r="AB23" s="9"/>
      <c r="AC23" s="9"/>
      <c r="AD23" s="9"/>
      <c r="AE23" s="9"/>
      <c r="AF23" s="9"/>
      <c r="AG23" s="9"/>
      <c r="AH23" s="9"/>
      <c r="AI23" s="9"/>
    </row>
    <row r="24" spans="1:35" x14ac:dyDescent="0.2">
      <c r="A24" t="s">
        <v>146</v>
      </c>
      <c r="B24" s="9">
        <v>0</v>
      </c>
      <c r="C24" s="9">
        <v>16</v>
      </c>
      <c r="D24" s="9" t="s">
        <v>439</v>
      </c>
      <c r="E24" s="9" t="s">
        <v>440</v>
      </c>
      <c r="F24" s="9" t="s">
        <v>441</v>
      </c>
      <c r="G24" s="9" t="s">
        <v>442</v>
      </c>
      <c r="H24" s="9" t="s">
        <v>443</v>
      </c>
      <c r="I24" s="9" t="s">
        <v>444</v>
      </c>
      <c r="J24" s="9" t="s">
        <v>445</v>
      </c>
      <c r="K24" s="9" t="s">
        <v>446</v>
      </c>
      <c r="L24" s="9" t="s">
        <v>447</v>
      </c>
      <c r="M24" s="9" t="s">
        <v>448</v>
      </c>
      <c r="N24" s="9" t="s">
        <v>449</v>
      </c>
      <c r="O24" s="9" t="s">
        <v>450</v>
      </c>
      <c r="P24" s="9" t="s">
        <v>451</v>
      </c>
      <c r="Q24" s="9" t="s">
        <v>452</v>
      </c>
      <c r="R24" s="9" t="s">
        <v>453</v>
      </c>
      <c r="S24" s="9" t="s">
        <v>454</v>
      </c>
      <c r="T24" s="9"/>
      <c r="U24" s="9"/>
      <c r="V24" s="9"/>
      <c r="W24" s="9"/>
      <c r="X24" s="9"/>
      <c r="Y24" s="9"/>
      <c r="Z24" s="9"/>
      <c r="AA24" s="9"/>
      <c r="AB24" s="9"/>
      <c r="AC24" s="9"/>
      <c r="AD24" s="9"/>
      <c r="AE24" s="9"/>
      <c r="AF24" s="9"/>
      <c r="AG24" s="9"/>
      <c r="AH24" s="9"/>
      <c r="AI24" s="9"/>
    </row>
    <row r="25" spans="1:35" x14ac:dyDescent="0.2">
      <c r="A25" t="s">
        <v>149</v>
      </c>
      <c r="B25" s="9">
        <v>0</v>
      </c>
      <c r="C25" s="9">
        <v>16</v>
      </c>
      <c r="D25" s="9" t="s">
        <v>439</v>
      </c>
      <c r="E25" s="9" t="s">
        <v>440</v>
      </c>
      <c r="F25" s="9" t="s">
        <v>441</v>
      </c>
      <c r="G25" s="9" t="s">
        <v>442</v>
      </c>
      <c r="H25" s="9" t="s">
        <v>443</v>
      </c>
      <c r="I25" s="9" t="s">
        <v>444</v>
      </c>
      <c r="J25" s="9" t="s">
        <v>445</v>
      </c>
      <c r="K25" s="9" t="s">
        <v>446</v>
      </c>
      <c r="L25" s="9" t="s">
        <v>447</v>
      </c>
      <c r="M25" s="9" t="s">
        <v>448</v>
      </c>
      <c r="N25" s="9" t="s">
        <v>449</v>
      </c>
      <c r="O25" s="9" t="s">
        <v>450</v>
      </c>
      <c r="P25" s="9" t="s">
        <v>451</v>
      </c>
      <c r="Q25" s="9" t="s">
        <v>452</v>
      </c>
      <c r="R25" s="9" t="s">
        <v>453</v>
      </c>
      <c r="S25" s="9" t="s">
        <v>454</v>
      </c>
      <c r="T25" s="9"/>
      <c r="U25" s="9"/>
      <c r="V25" s="9"/>
      <c r="W25" s="9"/>
      <c r="X25" s="9"/>
      <c r="Y25" s="9"/>
      <c r="Z25" s="9"/>
      <c r="AA25" s="9"/>
      <c r="AB25" s="9"/>
      <c r="AC25" s="9"/>
      <c r="AD25" s="9"/>
      <c r="AE25" s="9"/>
      <c r="AF25" s="9"/>
      <c r="AG25" s="9"/>
      <c r="AH25" s="9"/>
      <c r="AI25" s="9"/>
    </row>
    <row r="26" spans="1:35" x14ac:dyDescent="0.2">
      <c r="A26" t="s">
        <v>152</v>
      </c>
      <c r="B26" s="9">
        <v>0</v>
      </c>
      <c r="C26" s="9">
        <v>16</v>
      </c>
      <c r="D26" s="9" t="s">
        <v>439</v>
      </c>
      <c r="E26" s="9" t="s">
        <v>440</v>
      </c>
      <c r="F26" s="9" t="s">
        <v>441</v>
      </c>
      <c r="G26" s="9" t="s">
        <v>442</v>
      </c>
      <c r="H26" s="9" t="s">
        <v>443</v>
      </c>
      <c r="I26" s="9" t="s">
        <v>444</v>
      </c>
      <c r="J26" s="9" t="s">
        <v>445</v>
      </c>
      <c r="K26" s="9" t="s">
        <v>446</v>
      </c>
      <c r="L26" s="9" t="s">
        <v>447</v>
      </c>
      <c r="M26" s="9" t="s">
        <v>448</v>
      </c>
      <c r="N26" s="9" t="s">
        <v>449</v>
      </c>
      <c r="O26" s="9" t="s">
        <v>450</v>
      </c>
      <c r="P26" s="9" t="s">
        <v>451</v>
      </c>
      <c r="Q26" s="9" t="s">
        <v>452</v>
      </c>
      <c r="R26" s="9" t="s">
        <v>453</v>
      </c>
      <c r="S26" s="9" t="s">
        <v>454</v>
      </c>
      <c r="T26" s="9"/>
      <c r="U26" s="9"/>
      <c r="V26" s="9"/>
      <c r="W26" s="9"/>
      <c r="X26" s="9"/>
      <c r="Y26" s="9"/>
      <c r="Z26" s="9"/>
      <c r="AA26" s="9"/>
      <c r="AB26" s="9"/>
      <c r="AC26" s="9"/>
      <c r="AD26" s="9"/>
      <c r="AE26" s="9"/>
      <c r="AF26" s="9"/>
      <c r="AG26" s="9"/>
      <c r="AH26" s="9"/>
      <c r="AI26" s="9"/>
    </row>
    <row r="27" spans="1:35" x14ac:dyDescent="0.2">
      <c r="A27" t="s">
        <v>154</v>
      </c>
      <c r="B27" s="9">
        <v>0</v>
      </c>
      <c r="C27" s="9">
        <v>16</v>
      </c>
      <c r="D27" s="9" t="s">
        <v>439</v>
      </c>
      <c r="E27" s="9" t="s">
        <v>440</v>
      </c>
      <c r="F27" s="9" t="s">
        <v>441</v>
      </c>
      <c r="G27" s="9" t="s">
        <v>442</v>
      </c>
      <c r="H27" s="9" t="s">
        <v>443</v>
      </c>
      <c r="I27" s="9" t="s">
        <v>444</v>
      </c>
      <c r="J27" s="9" t="s">
        <v>445</v>
      </c>
      <c r="K27" s="9" t="s">
        <v>446</v>
      </c>
      <c r="L27" s="9" t="s">
        <v>447</v>
      </c>
      <c r="M27" s="9" t="s">
        <v>448</v>
      </c>
      <c r="N27" s="9" t="s">
        <v>449</v>
      </c>
      <c r="O27" s="9" t="s">
        <v>450</v>
      </c>
      <c r="P27" s="9" t="s">
        <v>451</v>
      </c>
      <c r="Q27" s="9" t="s">
        <v>452</v>
      </c>
      <c r="R27" s="9" t="s">
        <v>453</v>
      </c>
      <c r="S27" s="9" t="s">
        <v>454</v>
      </c>
      <c r="T27" s="9"/>
      <c r="U27" s="9"/>
      <c r="V27" s="9"/>
      <c r="W27" s="9"/>
      <c r="X27" s="9"/>
      <c r="Y27" s="9"/>
      <c r="Z27" s="9"/>
      <c r="AA27" s="9"/>
      <c r="AB27" s="9"/>
      <c r="AC27" s="9"/>
      <c r="AD27" s="9"/>
      <c r="AE27" s="9"/>
      <c r="AF27" s="9"/>
      <c r="AG27" s="9"/>
      <c r="AH27" s="9"/>
      <c r="AI27" s="9"/>
    </row>
    <row r="28" spans="1:35" x14ac:dyDescent="0.2">
      <c r="A28" t="s">
        <v>156</v>
      </c>
      <c r="B28" s="9">
        <v>0</v>
      </c>
      <c r="C28" s="9">
        <v>16</v>
      </c>
      <c r="D28" s="9" t="s">
        <v>439</v>
      </c>
      <c r="E28" s="9" t="s">
        <v>440</v>
      </c>
      <c r="F28" s="9" t="s">
        <v>441</v>
      </c>
      <c r="G28" s="9" t="s">
        <v>442</v>
      </c>
      <c r="H28" s="9" t="s">
        <v>443</v>
      </c>
      <c r="I28" s="9" t="s">
        <v>444</v>
      </c>
      <c r="J28" s="9" t="s">
        <v>445</v>
      </c>
      <c r="K28" s="9" t="s">
        <v>446</v>
      </c>
      <c r="L28" s="9" t="s">
        <v>447</v>
      </c>
      <c r="M28" s="9" t="s">
        <v>448</v>
      </c>
      <c r="N28" s="9" t="s">
        <v>449</v>
      </c>
      <c r="O28" s="9" t="s">
        <v>450</v>
      </c>
      <c r="P28" s="9" t="s">
        <v>451</v>
      </c>
      <c r="Q28" s="9" t="s">
        <v>452</v>
      </c>
      <c r="R28" s="9" t="s">
        <v>453</v>
      </c>
      <c r="S28" s="9" t="s">
        <v>454</v>
      </c>
      <c r="T28" s="9"/>
      <c r="U28" s="9"/>
      <c r="V28" s="9"/>
      <c r="W28" s="9"/>
      <c r="X28" s="9"/>
      <c r="Y28" s="9"/>
      <c r="Z28" s="9"/>
      <c r="AA28" s="9"/>
      <c r="AB28" s="9"/>
      <c r="AC28" s="9"/>
      <c r="AD28" s="9"/>
      <c r="AE28" s="9"/>
      <c r="AF28" s="9"/>
      <c r="AG28" s="9"/>
      <c r="AH28" s="9"/>
      <c r="AI28" s="9"/>
    </row>
    <row r="29" spans="1:35" x14ac:dyDescent="0.2">
      <c r="A29" t="s">
        <v>158</v>
      </c>
      <c r="B29" s="9">
        <v>0</v>
      </c>
      <c r="C29" s="9">
        <v>16</v>
      </c>
      <c r="D29" s="9" t="s">
        <v>439</v>
      </c>
      <c r="E29" s="9" t="s">
        <v>440</v>
      </c>
      <c r="F29" s="9" t="s">
        <v>441</v>
      </c>
      <c r="G29" s="9" t="s">
        <v>442</v>
      </c>
      <c r="H29" s="9" t="s">
        <v>443</v>
      </c>
      <c r="I29" s="9" t="s">
        <v>444</v>
      </c>
      <c r="J29" s="9" t="s">
        <v>445</v>
      </c>
      <c r="K29" s="9" t="s">
        <v>446</v>
      </c>
      <c r="L29" s="9" t="s">
        <v>447</v>
      </c>
      <c r="M29" s="9" t="s">
        <v>448</v>
      </c>
      <c r="N29" s="9" t="s">
        <v>449</v>
      </c>
      <c r="O29" s="9" t="s">
        <v>450</v>
      </c>
      <c r="P29" s="9" t="s">
        <v>451</v>
      </c>
      <c r="Q29" s="9" t="s">
        <v>452</v>
      </c>
      <c r="R29" s="9" t="s">
        <v>453</v>
      </c>
      <c r="S29" s="9" t="s">
        <v>454</v>
      </c>
      <c r="T29" s="9"/>
      <c r="U29" s="9"/>
      <c r="V29" s="9"/>
      <c r="W29" s="9"/>
      <c r="X29" s="9"/>
      <c r="Y29" s="9"/>
      <c r="Z29" s="9"/>
      <c r="AA29" s="9"/>
      <c r="AB29" s="9"/>
      <c r="AC29" s="9"/>
      <c r="AD29" s="9"/>
      <c r="AE29" s="9"/>
      <c r="AF29" s="9"/>
      <c r="AG29" s="9"/>
      <c r="AH29" s="9"/>
      <c r="AI29" s="9"/>
    </row>
    <row r="30" spans="1:35" x14ac:dyDescent="0.2">
      <c r="A30" t="s">
        <v>160</v>
      </c>
      <c r="B30" s="9">
        <v>0</v>
      </c>
      <c r="C30" s="9">
        <v>16</v>
      </c>
      <c r="D30" s="9" t="s">
        <v>439</v>
      </c>
      <c r="E30" s="9" t="s">
        <v>440</v>
      </c>
      <c r="F30" s="9" t="s">
        <v>441</v>
      </c>
      <c r="G30" s="9" t="s">
        <v>442</v>
      </c>
      <c r="H30" s="9" t="s">
        <v>443</v>
      </c>
      <c r="I30" s="9" t="s">
        <v>444</v>
      </c>
      <c r="J30" s="9" t="s">
        <v>445</v>
      </c>
      <c r="K30" s="9" t="s">
        <v>446</v>
      </c>
      <c r="L30" s="9" t="s">
        <v>447</v>
      </c>
      <c r="M30" s="9" t="s">
        <v>448</v>
      </c>
      <c r="N30" s="9" t="s">
        <v>449</v>
      </c>
      <c r="O30" s="9" t="s">
        <v>450</v>
      </c>
      <c r="P30" s="9" t="s">
        <v>451</v>
      </c>
      <c r="Q30" s="9" t="s">
        <v>452</v>
      </c>
      <c r="R30" s="9" t="s">
        <v>453</v>
      </c>
      <c r="S30" s="9" t="s">
        <v>454</v>
      </c>
      <c r="T30" s="9"/>
      <c r="U30" s="9"/>
      <c r="V30" s="9"/>
      <c r="W30" s="9"/>
      <c r="X30" s="9"/>
      <c r="Y30" s="9"/>
      <c r="Z30" s="9"/>
      <c r="AA30" s="9"/>
      <c r="AB30" s="9"/>
      <c r="AC30" s="9"/>
      <c r="AD30" s="9"/>
      <c r="AE30" s="9"/>
      <c r="AF30" s="9"/>
      <c r="AG30" s="9"/>
      <c r="AH30" s="9"/>
      <c r="AI30" s="9"/>
    </row>
    <row r="31" spans="1:35" x14ac:dyDescent="0.2">
      <c r="A31" t="s">
        <v>162</v>
      </c>
      <c r="B31" s="9">
        <v>8</v>
      </c>
      <c r="C31" s="9">
        <v>8</v>
      </c>
      <c r="D31" s="9" t="s">
        <v>431</v>
      </c>
      <c r="E31" s="9" t="s">
        <v>432</v>
      </c>
      <c r="F31" s="9" t="s">
        <v>433</v>
      </c>
      <c r="G31" s="9" t="s">
        <v>434</v>
      </c>
      <c r="H31" s="9" t="s">
        <v>435</v>
      </c>
      <c r="I31" s="9" t="s">
        <v>436</v>
      </c>
      <c r="J31" s="9" t="s">
        <v>437</v>
      </c>
      <c r="K31" s="9" t="s">
        <v>438</v>
      </c>
      <c r="L31" s="9" t="s">
        <v>439</v>
      </c>
      <c r="M31" s="9" t="s">
        <v>440</v>
      </c>
      <c r="N31" s="9" t="s">
        <v>441</v>
      </c>
      <c r="O31" s="9" t="s">
        <v>442</v>
      </c>
      <c r="P31" s="9" t="s">
        <v>443</v>
      </c>
      <c r="Q31" s="9" t="s">
        <v>444</v>
      </c>
      <c r="R31" s="9" t="s">
        <v>445</v>
      </c>
      <c r="S31" s="9" t="s">
        <v>446</v>
      </c>
      <c r="T31" s="9"/>
      <c r="U31" s="9"/>
      <c r="V31" s="9"/>
      <c r="W31" s="9"/>
      <c r="X31" s="9"/>
      <c r="Y31" s="9"/>
      <c r="Z31" s="9"/>
      <c r="AA31" s="9"/>
      <c r="AB31" s="9"/>
      <c r="AC31" s="9"/>
      <c r="AD31" s="9"/>
      <c r="AE31" s="9"/>
      <c r="AF31" s="9"/>
      <c r="AG31" s="9"/>
      <c r="AH31" s="9"/>
      <c r="AI31" s="9"/>
    </row>
    <row r="32" spans="1:35" x14ac:dyDescent="0.2">
      <c r="A32" t="s">
        <v>164</v>
      </c>
      <c r="B32" s="9">
        <v>8</v>
      </c>
      <c r="C32" s="9">
        <v>8</v>
      </c>
      <c r="D32" s="9" t="s">
        <v>431</v>
      </c>
      <c r="E32" s="9" t="s">
        <v>432</v>
      </c>
      <c r="F32" s="9" t="s">
        <v>433</v>
      </c>
      <c r="G32" s="9" t="s">
        <v>434</v>
      </c>
      <c r="H32" s="9" t="s">
        <v>435</v>
      </c>
      <c r="I32" s="9" t="s">
        <v>436</v>
      </c>
      <c r="J32" s="9" t="s">
        <v>437</v>
      </c>
      <c r="K32" s="9" t="s">
        <v>438</v>
      </c>
      <c r="L32" s="9" t="s">
        <v>439</v>
      </c>
      <c r="M32" s="9" t="s">
        <v>440</v>
      </c>
      <c r="N32" s="9" t="s">
        <v>441</v>
      </c>
      <c r="O32" s="9" t="s">
        <v>442</v>
      </c>
      <c r="P32" s="9" t="s">
        <v>443</v>
      </c>
      <c r="Q32" s="9" t="s">
        <v>444</v>
      </c>
      <c r="R32" s="9" t="s">
        <v>445</v>
      </c>
      <c r="S32" s="9" t="s">
        <v>446</v>
      </c>
      <c r="T32" s="9"/>
      <c r="U32" s="9"/>
      <c r="V32" s="9"/>
      <c r="W32" s="9"/>
      <c r="X32" s="9"/>
      <c r="Y32" s="9"/>
      <c r="Z32" s="9"/>
      <c r="AA32" s="9"/>
      <c r="AB32" s="9"/>
      <c r="AC32" s="9"/>
      <c r="AD32" s="9"/>
      <c r="AE32" s="9"/>
      <c r="AF32" s="9"/>
      <c r="AG32" s="9"/>
      <c r="AH32" s="9"/>
      <c r="AI32" s="9"/>
    </row>
    <row r="33" spans="1:35" x14ac:dyDescent="0.2">
      <c r="A33" t="s">
        <v>165</v>
      </c>
      <c r="B33" s="9">
        <v>8</v>
      </c>
      <c r="C33" s="9">
        <v>8</v>
      </c>
      <c r="D33" s="9" t="s">
        <v>431</v>
      </c>
      <c r="E33" s="9" t="s">
        <v>432</v>
      </c>
      <c r="F33" s="9" t="s">
        <v>433</v>
      </c>
      <c r="G33" s="9" t="s">
        <v>434</v>
      </c>
      <c r="H33" s="9" t="s">
        <v>435</v>
      </c>
      <c r="I33" s="9" t="s">
        <v>436</v>
      </c>
      <c r="J33" s="9" t="s">
        <v>437</v>
      </c>
      <c r="K33" s="9" t="s">
        <v>438</v>
      </c>
      <c r="L33" s="9" t="s">
        <v>439</v>
      </c>
      <c r="M33" s="9" t="s">
        <v>440</v>
      </c>
      <c r="N33" s="9" t="s">
        <v>441</v>
      </c>
      <c r="O33" s="9" t="s">
        <v>442</v>
      </c>
      <c r="P33" s="9" t="s">
        <v>443</v>
      </c>
      <c r="Q33" s="9" t="s">
        <v>444</v>
      </c>
      <c r="R33" s="9" t="s">
        <v>445</v>
      </c>
      <c r="S33" s="9" t="s">
        <v>446</v>
      </c>
      <c r="T33" s="9"/>
      <c r="U33" s="9"/>
      <c r="V33" s="9"/>
      <c r="W33" s="9"/>
      <c r="X33" s="9"/>
      <c r="Y33" s="9"/>
      <c r="Z33" s="9"/>
      <c r="AA33" s="9"/>
      <c r="AB33" s="9"/>
      <c r="AC33" s="9"/>
      <c r="AD33" s="9"/>
      <c r="AE33" s="9"/>
      <c r="AF33" s="9"/>
      <c r="AG33" s="9"/>
      <c r="AH33" s="9"/>
      <c r="AI33" s="9"/>
    </row>
    <row r="34" spans="1:35" x14ac:dyDescent="0.2">
      <c r="A34" t="s">
        <v>166</v>
      </c>
      <c r="B34" s="9">
        <v>8</v>
      </c>
      <c r="C34" s="9">
        <v>8</v>
      </c>
      <c r="D34" s="9" t="s">
        <v>431</v>
      </c>
      <c r="E34" s="9" t="s">
        <v>432</v>
      </c>
      <c r="F34" s="9" t="s">
        <v>433</v>
      </c>
      <c r="G34" s="9" t="s">
        <v>434</v>
      </c>
      <c r="H34" s="9" t="s">
        <v>435</v>
      </c>
      <c r="I34" s="9" t="s">
        <v>436</v>
      </c>
      <c r="J34" s="9" t="s">
        <v>437</v>
      </c>
      <c r="K34" s="9" t="s">
        <v>438</v>
      </c>
      <c r="L34" s="9" t="s">
        <v>439</v>
      </c>
      <c r="M34" s="9" t="s">
        <v>440</v>
      </c>
      <c r="N34" s="9" t="s">
        <v>441</v>
      </c>
      <c r="O34" s="9" t="s">
        <v>442</v>
      </c>
      <c r="P34" s="9" t="s">
        <v>443</v>
      </c>
      <c r="Q34" s="9" t="s">
        <v>444</v>
      </c>
      <c r="R34" s="9" t="s">
        <v>445</v>
      </c>
      <c r="S34" s="9" t="s">
        <v>446</v>
      </c>
      <c r="T34" s="9"/>
      <c r="U34" s="9"/>
      <c r="V34" s="9"/>
      <c r="W34" s="9"/>
      <c r="X34" s="9"/>
      <c r="Y34" s="9"/>
      <c r="Z34" s="9"/>
      <c r="AA34" s="9"/>
      <c r="AB34" s="9"/>
      <c r="AC34" s="9"/>
      <c r="AD34" s="9"/>
      <c r="AE34" s="9"/>
      <c r="AF34" s="9"/>
      <c r="AG34" s="9"/>
      <c r="AH34" s="9"/>
      <c r="AI34" s="9"/>
    </row>
    <row r="35" spans="1:35" x14ac:dyDescent="0.2">
      <c r="A35" t="s">
        <v>167</v>
      </c>
      <c r="B35" s="9">
        <v>8</v>
      </c>
      <c r="C35" s="9">
        <v>8</v>
      </c>
      <c r="D35" s="9" t="s">
        <v>431</v>
      </c>
      <c r="E35" s="9" t="s">
        <v>432</v>
      </c>
      <c r="F35" s="9" t="s">
        <v>433</v>
      </c>
      <c r="G35" s="9" t="s">
        <v>434</v>
      </c>
      <c r="H35" s="9" t="s">
        <v>435</v>
      </c>
      <c r="I35" s="9" t="s">
        <v>436</v>
      </c>
      <c r="J35" s="9" t="s">
        <v>437</v>
      </c>
      <c r="K35" s="9" t="s">
        <v>438</v>
      </c>
      <c r="L35" s="9" t="s">
        <v>439</v>
      </c>
      <c r="M35" s="9" t="s">
        <v>440</v>
      </c>
      <c r="N35" s="9" t="s">
        <v>441</v>
      </c>
      <c r="O35" s="9" t="s">
        <v>442</v>
      </c>
      <c r="P35" s="9" t="s">
        <v>443</v>
      </c>
      <c r="Q35" s="9" t="s">
        <v>444</v>
      </c>
      <c r="R35" s="9" t="s">
        <v>445</v>
      </c>
      <c r="S35" s="9" t="s">
        <v>446</v>
      </c>
      <c r="T35" s="9"/>
      <c r="U35" s="9"/>
      <c r="V35" s="9"/>
      <c r="W35" s="9"/>
      <c r="X35" s="9"/>
      <c r="Y35" s="9"/>
      <c r="Z35" s="9"/>
      <c r="AA35" s="9"/>
      <c r="AB35" s="9"/>
      <c r="AC35" s="9"/>
      <c r="AD35" s="9"/>
      <c r="AE35" s="9"/>
      <c r="AF35" s="9"/>
      <c r="AG35" s="9"/>
      <c r="AH35" s="9"/>
      <c r="AI35" s="9"/>
    </row>
    <row r="36" spans="1:35" x14ac:dyDescent="0.2">
      <c r="A36" t="s">
        <v>169</v>
      </c>
      <c r="B36" s="9">
        <v>8</v>
      </c>
      <c r="C36" s="9">
        <v>8</v>
      </c>
      <c r="D36" s="9" t="s">
        <v>431</v>
      </c>
      <c r="E36" s="9" t="s">
        <v>432</v>
      </c>
      <c r="F36" s="9" t="s">
        <v>433</v>
      </c>
      <c r="G36" s="9" t="s">
        <v>434</v>
      </c>
      <c r="H36" s="9" t="s">
        <v>435</v>
      </c>
      <c r="I36" s="9" t="s">
        <v>436</v>
      </c>
      <c r="J36" s="9" t="s">
        <v>437</v>
      </c>
      <c r="K36" s="9" t="s">
        <v>438</v>
      </c>
      <c r="L36" s="9" t="s">
        <v>439</v>
      </c>
      <c r="M36" s="9" t="s">
        <v>440</v>
      </c>
      <c r="N36" s="9" t="s">
        <v>441</v>
      </c>
      <c r="O36" s="9" t="s">
        <v>442</v>
      </c>
      <c r="P36" s="9" t="s">
        <v>443</v>
      </c>
      <c r="Q36" s="9" t="s">
        <v>444</v>
      </c>
      <c r="R36" s="9" t="s">
        <v>445</v>
      </c>
      <c r="S36" s="9" t="s">
        <v>446</v>
      </c>
      <c r="T36" s="9"/>
      <c r="U36" s="9"/>
      <c r="V36" s="9"/>
      <c r="W36" s="9"/>
      <c r="X36" s="9"/>
      <c r="Y36" s="9"/>
      <c r="Z36" s="9"/>
      <c r="AA36" s="9"/>
      <c r="AB36" s="9"/>
      <c r="AC36" s="9"/>
      <c r="AD36" s="9"/>
      <c r="AE36" s="9"/>
      <c r="AF36" s="9"/>
      <c r="AG36" s="9"/>
      <c r="AH36" s="9"/>
      <c r="AI36" s="9"/>
    </row>
    <row r="37" spans="1:35" x14ac:dyDescent="0.2">
      <c r="A37" t="s">
        <v>171</v>
      </c>
      <c r="B37" s="9">
        <v>8</v>
      </c>
      <c r="C37" s="9">
        <v>8</v>
      </c>
      <c r="D37" s="9" t="s">
        <v>431</v>
      </c>
      <c r="E37" s="9" t="s">
        <v>432</v>
      </c>
      <c r="F37" s="9" t="s">
        <v>433</v>
      </c>
      <c r="G37" s="9" t="s">
        <v>434</v>
      </c>
      <c r="H37" s="9" t="s">
        <v>435</v>
      </c>
      <c r="I37" s="9" t="s">
        <v>436</v>
      </c>
      <c r="J37" s="9" t="s">
        <v>437</v>
      </c>
      <c r="K37" s="9" t="s">
        <v>438</v>
      </c>
      <c r="L37" s="9" t="s">
        <v>439</v>
      </c>
      <c r="M37" s="9" t="s">
        <v>440</v>
      </c>
      <c r="N37" s="9" t="s">
        <v>441</v>
      </c>
      <c r="O37" s="9" t="s">
        <v>442</v>
      </c>
      <c r="P37" s="9" t="s">
        <v>443</v>
      </c>
      <c r="Q37" s="9" t="s">
        <v>444</v>
      </c>
      <c r="R37" s="9" t="s">
        <v>445</v>
      </c>
      <c r="S37" s="9" t="s">
        <v>446</v>
      </c>
      <c r="T37" s="9"/>
      <c r="U37" s="9"/>
      <c r="V37" s="9"/>
      <c r="W37" s="9"/>
      <c r="X37" s="9"/>
      <c r="Y37" s="9"/>
      <c r="Z37" s="9"/>
      <c r="AA37" s="9"/>
      <c r="AB37" s="9"/>
      <c r="AC37" s="9"/>
      <c r="AD37" s="9"/>
      <c r="AE37" s="9"/>
      <c r="AF37" s="9"/>
      <c r="AG37" s="9"/>
      <c r="AH37" s="9"/>
      <c r="AI37" s="9"/>
    </row>
    <row r="38" spans="1:35" x14ac:dyDescent="0.2">
      <c r="A38" t="s">
        <v>173</v>
      </c>
      <c r="B38" s="9">
        <v>8</v>
      </c>
      <c r="C38" s="9">
        <v>8</v>
      </c>
      <c r="D38" s="9" t="s">
        <v>431</v>
      </c>
      <c r="E38" s="9" t="s">
        <v>432</v>
      </c>
      <c r="F38" s="9" t="s">
        <v>433</v>
      </c>
      <c r="G38" s="9" t="s">
        <v>434</v>
      </c>
      <c r="H38" s="9" t="s">
        <v>435</v>
      </c>
      <c r="I38" s="9" t="s">
        <v>436</v>
      </c>
      <c r="J38" s="9" t="s">
        <v>437</v>
      </c>
      <c r="K38" s="9" t="s">
        <v>438</v>
      </c>
      <c r="L38" s="9" t="s">
        <v>439</v>
      </c>
      <c r="M38" s="9" t="s">
        <v>440</v>
      </c>
      <c r="N38" s="9" t="s">
        <v>441</v>
      </c>
      <c r="O38" s="9" t="s">
        <v>442</v>
      </c>
      <c r="P38" s="9" t="s">
        <v>443</v>
      </c>
      <c r="Q38" s="9" t="s">
        <v>444</v>
      </c>
      <c r="R38" s="9" t="s">
        <v>445</v>
      </c>
      <c r="S38" s="9" t="s">
        <v>446</v>
      </c>
      <c r="T38" s="9"/>
      <c r="U38" s="9"/>
      <c r="V38" s="9"/>
      <c r="W38" s="9"/>
      <c r="X38" s="9"/>
      <c r="Y38" s="9"/>
      <c r="Z38" s="9"/>
      <c r="AA38" s="9"/>
      <c r="AB38" s="9"/>
      <c r="AC38" s="9"/>
      <c r="AD38" s="9"/>
      <c r="AE38" s="9"/>
      <c r="AF38" s="9"/>
      <c r="AG38" s="9"/>
      <c r="AH38" s="9"/>
      <c r="AI38" s="9"/>
    </row>
    <row r="39" spans="1:35" x14ac:dyDescent="0.2">
      <c r="A39" t="s">
        <v>175</v>
      </c>
      <c r="B39" s="9">
        <v>16</v>
      </c>
      <c r="C39" s="9">
        <v>16</v>
      </c>
      <c r="D39" s="9" t="s">
        <v>431</v>
      </c>
      <c r="E39" s="9" t="s">
        <v>432</v>
      </c>
      <c r="F39" s="9" t="s">
        <v>433</v>
      </c>
      <c r="G39" s="9" t="s">
        <v>434</v>
      </c>
      <c r="H39" s="9" t="s">
        <v>435</v>
      </c>
      <c r="I39" s="9" t="s">
        <v>436</v>
      </c>
      <c r="J39" s="9" t="s">
        <v>437</v>
      </c>
      <c r="K39" s="9" t="s">
        <v>438</v>
      </c>
      <c r="L39" s="9" t="s">
        <v>471</v>
      </c>
      <c r="M39" s="9" t="s">
        <v>472</v>
      </c>
      <c r="N39" s="9" t="s">
        <v>473</v>
      </c>
      <c r="O39" s="9" t="s">
        <v>474</v>
      </c>
      <c r="P39" s="9" t="s">
        <v>475</v>
      </c>
      <c r="Q39" s="9" t="s">
        <v>476</v>
      </c>
      <c r="R39" s="9" t="s">
        <v>477</v>
      </c>
      <c r="S39" s="9" t="s">
        <v>478</v>
      </c>
      <c r="T39" s="9" t="s">
        <v>439</v>
      </c>
      <c r="U39" s="9" t="s">
        <v>440</v>
      </c>
      <c r="V39" s="9" t="s">
        <v>441</v>
      </c>
      <c r="W39" s="9" t="s">
        <v>442</v>
      </c>
      <c r="X39" s="9" t="s">
        <v>443</v>
      </c>
      <c r="Y39" s="9" t="s">
        <v>444</v>
      </c>
      <c r="Z39" s="9" t="s">
        <v>445</v>
      </c>
      <c r="AA39" s="9" t="s">
        <v>446</v>
      </c>
      <c r="AB39" s="9" t="s">
        <v>447</v>
      </c>
      <c r="AC39" s="9" t="s">
        <v>448</v>
      </c>
      <c r="AD39" s="9" t="s">
        <v>449</v>
      </c>
      <c r="AE39" s="9" t="s">
        <v>450</v>
      </c>
      <c r="AF39" s="9" t="s">
        <v>451</v>
      </c>
      <c r="AG39" s="9" t="s">
        <v>452</v>
      </c>
      <c r="AH39" s="9" t="s">
        <v>453</v>
      </c>
      <c r="AI39" s="9" t="s">
        <v>454</v>
      </c>
    </row>
    <row r="40" spans="1:35" x14ac:dyDescent="0.2">
      <c r="A40" t="s">
        <v>177</v>
      </c>
      <c r="B40" s="9">
        <v>16</v>
      </c>
      <c r="C40" s="9">
        <v>16</v>
      </c>
      <c r="D40" s="9" t="s">
        <v>431</v>
      </c>
      <c r="E40" s="9" t="s">
        <v>432</v>
      </c>
      <c r="F40" s="9" t="s">
        <v>433</v>
      </c>
      <c r="G40" s="9" t="s">
        <v>434</v>
      </c>
      <c r="H40" s="9" t="s">
        <v>435</v>
      </c>
      <c r="I40" s="9" t="s">
        <v>436</v>
      </c>
      <c r="J40" s="9" t="s">
        <v>437</v>
      </c>
      <c r="K40" s="9" t="s">
        <v>438</v>
      </c>
      <c r="L40" s="9" t="s">
        <v>471</v>
      </c>
      <c r="M40" s="9" t="s">
        <v>472</v>
      </c>
      <c r="N40" s="9" t="s">
        <v>473</v>
      </c>
      <c r="O40" s="9" t="s">
        <v>474</v>
      </c>
      <c r="P40" s="9" t="s">
        <v>475</v>
      </c>
      <c r="Q40" s="9" t="s">
        <v>476</v>
      </c>
      <c r="R40" s="9" t="s">
        <v>477</v>
      </c>
      <c r="S40" s="9" t="s">
        <v>478</v>
      </c>
      <c r="T40" s="9" t="s">
        <v>439</v>
      </c>
      <c r="U40" s="9" t="s">
        <v>440</v>
      </c>
      <c r="V40" s="9" t="s">
        <v>441</v>
      </c>
      <c r="W40" s="9" t="s">
        <v>442</v>
      </c>
      <c r="X40" s="9" t="s">
        <v>443</v>
      </c>
      <c r="Y40" s="9" t="s">
        <v>444</v>
      </c>
      <c r="Z40" s="9" t="s">
        <v>445</v>
      </c>
      <c r="AA40" s="9" t="s">
        <v>446</v>
      </c>
      <c r="AB40" s="9" t="s">
        <v>447</v>
      </c>
      <c r="AC40" s="9" t="s">
        <v>448</v>
      </c>
      <c r="AD40" s="9" t="s">
        <v>449</v>
      </c>
      <c r="AE40" s="9" t="s">
        <v>450</v>
      </c>
      <c r="AF40" s="9" t="s">
        <v>451</v>
      </c>
      <c r="AG40" s="9" t="s">
        <v>452</v>
      </c>
      <c r="AH40" s="9" t="s">
        <v>453</v>
      </c>
      <c r="AI40" s="9" t="s">
        <v>454</v>
      </c>
    </row>
    <row r="41" spans="1:35" x14ac:dyDescent="0.2">
      <c r="A41" t="s">
        <v>179</v>
      </c>
      <c r="B41" s="9">
        <v>16</v>
      </c>
      <c r="C41" s="9">
        <v>16</v>
      </c>
      <c r="D41" s="9" t="s">
        <v>431</v>
      </c>
      <c r="E41" s="9" t="s">
        <v>432</v>
      </c>
      <c r="F41" s="9" t="s">
        <v>433</v>
      </c>
      <c r="G41" s="9" t="s">
        <v>434</v>
      </c>
      <c r="H41" s="9" t="s">
        <v>435</v>
      </c>
      <c r="I41" s="9" t="s">
        <v>436</v>
      </c>
      <c r="J41" s="9" t="s">
        <v>437</v>
      </c>
      <c r="K41" s="9" t="s">
        <v>438</v>
      </c>
      <c r="L41" s="9" t="s">
        <v>471</v>
      </c>
      <c r="M41" s="9" t="s">
        <v>472</v>
      </c>
      <c r="N41" s="9" t="s">
        <v>473</v>
      </c>
      <c r="O41" s="9" t="s">
        <v>474</v>
      </c>
      <c r="P41" s="9" t="s">
        <v>475</v>
      </c>
      <c r="Q41" s="9" t="s">
        <v>476</v>
      </c>
      <c r="R41" s="9" t="s">
        <v>477</v>
      </c>
      <c r="S41" s="9" t="s">
        <v>478</v>
      </c>
      <c r="T41" s="9" t="s">
        <v>439</v>
      </c>
      <c r="U41" s="9" t="s">
        <v>440</v>
      </c>
      <c r="V41" s="9" t="s">
        <v>441</v>
      </c>
      <c r="W41" s="9" t="s">
        <v>442</v>
      </c>
      <c r="X41" s="9" t="s">
        <v>443</v>
      </c>
      <c r="Y41" s="9" t="s">
        <v>444</v>
      </c>
      <c r="Z41" s="9" t="s">
        <v>445</v>
      </c>
      <c r="AA41" s="9" t="s">
        <v>446</v>
      </c>
      <c r="AB41" s="9" t="s">
        <v>447</v>
      </c>
      <c r="AC41" s="9" t="s">
        <v>448</v>
      </c>
      <c r="AD41" s="9" t="s">
        <v>449</v>
      </c>
      <c r="AE41" s="9" t="s">
        <v>450</v>
      </c>
      <c r="AF41" s="9" t="s">
        <v>451</v>
      </c>
      <c r="AG41" s="9" t="s">
        <v>452</v>
      </c>
      <c r="AH41" s="9" t="s">
        <v>453</v>
      </c>
      <c r="AI41" s="9" t="s">
        <v>454</v>
      </c>
    </row>
    <row r="42" spans="1:35" x14ac:dyDescent="0.2">
      <c r="A42" t="s">
        <v>181</v>
      </c>
      <c r="B42" s="9">
        <v>16</v>
      </c>
      <c r="C42" s="9">
        <v>16</v>
      </c>
      <c r="D42" s="9" t="s">
        <v>431</v>
      </c>
      <c r="E42" s="9" t="s">
        <v>432</v>
      </c>
      <c r="F42" s="9" t="s">
        <v>433</v>
      </c>
      <c r="G42" s="9" t="s">
        <v>434</v>
      </c>
      <c r="H42" s="9" t="s">
        <v>435</v>
      </c>
      <c r="I42" s="9" t="s">
        <v>436</v>
      </c>
      <c r="J42" s="9" t="s">
        <v>437</v>
      </c>
      <c r="K42" s="9" t="s">
        <v>438</v>
      </c>
      <c r="L42" s="9" t="s">
        <v>471</v>
      </c>
      <c r="M42" s="9" t="s">
        <v>472</v>
      </c>
      <c r="N42" s="9" t="s">
        <v>473</v>
      </c>
      <c r="O42" s="9" t="s">
        <v>474</v>
      </c>
      <c r="P42" s="9" t="s">
        <v>475</v>
      </c>
      <c r="Q42" s="9" t="s">
        <v>476</v>
      </c>
      <c r="R42" s="9" t="s">
        <v>477</v>
      </c>
      <c r="S42" s="9" t="s">
        <v>478</v>
      </c>
      <c r="T42" s="9" t="s">
        <v>439</v>
      </c>
      <c r="U42" s="9" t="s">
        <v>440</v>
      </c>
      <c r="V42" s="9" t="s">
        <v>441</v>
      </c>
      <c r="W42" s="9" t="s">
        <v>442</v>
      </c>
      <c r="X42" s="9" t="s">
        <v>443</v>
      </c>
      <c r="Y42" s="9" t="s">
        <v>444</v>
      </c>
      <c r="Z42" s="9" t="s">
        <v>445</v>
      </c>
      <c r="AA42" s="9" t="s">
        <v>446</v>
      </c>
      <c r="AB42" s="9" t="s">
        <v>447</v>
      </c>
      <c r="AC42" s="9" t="s">
        <v>448</v>
      </c>
      <c r="AD42" s="9" t="s">
        <v>449</v>
      </c>
      <c r="AE42" s="9" t="s">
        <v>450</v>
      </c>
      <c r="AF42" s="9" t="s">
        <v>451</v>
      </c>
      <c r="AG42" s="9" t="s">
        <v>452</v>
      </c>
      <c r="AH42" s="9" t="s">
        <v>453</v>
      </c>
      <c r="AI42" s="9" t="s">
        <v>454</v>
      </c>
    </row>
    <row r="43" spans="1:35" x14ac:dyDescent="0.2">
      <c r="A43" t="s">
        <v>183</v>
      </c>
      <c r="B43" s="9">
        <v>24</v>
      </c>
      <c r="C43" s="9">
        <v>8</v>
      </c>
      <c r="D43" s="9" t="s">
        <v>431</v>
      </c>
      <c r="E43" s="9" t="s">
        <v>432</v>
      </c>
      <c r="F43" s="9" t="s">
        <v>433</v>
      </c>
      <c r="G43" s="9" t="s">
        <v>434</v>
      </c>
      <c r="H43" s="9" t="s">
        <v>435</v>
      </c>
      <c r="I43" s="9" t="s">
        <v>436</v>
      </c>
      <c r="J43" s="9" t="s">
        <v>437</v>
      </c>
      <c r="K43" s="9" t="s">
        <v>438</v>
      </c>
      <c r="L43" s="9" t="s">
        <v>471</v>
      </c>
      <c r="M43" s="9" t="s">
        <v>472</v>
      </c>
      <c r="N43" s="9" t="s">
        <v>473</v>
      </c>
      <c r="O43" s="9" t="s">
        <v>474</v>
      </c>
      <c r="P43" s="9" t="s">
        <v>475</v>
      </c>
      <c r="Q43" s="9" t="s">
        <v>476</v>
      </c>
      <c r="R43" s="9" t="s">
        <v>477</v>
      </c>
      <c r="S43" s="9" t="s">
        <v>478</v>
      </c>
      <c r="T43" s="9" t="s">
        <v>431</v>
      </c>
      <c r="U43" s="9" t="s">
        <v>432</v>
      </c>
      <c r="V43" s="9" t="s">
        <v>433</v>
      </c>
      <c r="W43" s="9" t="s">
        <v>434</v>
      </c>
      <c r="X43" s="9" t="s">
        <v>435</v>
      </c>
      <c r="Y43" s="9" t="s">
        <v>436</v>
      </c>
      <c r="Z43" s="9" t="s">
        <v>437</v>
      </c>
      <c r="AA43" s="9" t="s">
        <v>438</v>
      </c>
      <c r="AB43" s="9" t="s">
        <v>439</v>
      </c>
      <c r="AC43" s="9" t="s">
        <v>440</v>
      </c>
      <c r="AD43" s="9" t="s">
        <v>441</v>
      </c>
      <c r="AE43" s="9" t="s">
        <v>442</v>
      </c>
      <c r="AF43" s="9" t="s">
        <v>443</v>
      </c>
      <c r="AG43" s="9" t="s">
        <v>444</v>
      </c>
      <c r="AH43" s="9" t="s">
        <v>445</v>
      </c>
      <c r="AI43" s="9" t="s">
        <v>446</v>
      </c>
    </row>
    <row r="44" spans="1:35" x14ac:dyDescent="0.2">
      <c r="A44" t="s">
        <v>185</v>
      </c>
      <c r="B44" s="9">
        <v>24</v>
      </c>
      <c r="C44" s="9">
        <v>8</v>
      </c>
      <c r="D44" s="9" t="s">
        <v>431</v>
      </c>
      <c r="E44" s="9" t="s">
        <v>432</v>
      </c>
      <c r="F44" s="9" t="s">
        <v>433</v>
      </c>
      <c r="G44" s="9" t="s">
        <v>434</v>
      </c>
      <c r="H44" s="9" t="s">
        <v>435</v>
      </c>
      <c r="I44" s="9" t="s">
        <v>436</v>
      </c>
      <c r="J44" s="9" t="s">
        <v>437</v>
      </c>
      <c r="K44" s="9" t="s">
        <v>438</v>
      </c>
      <c r="L44" s="9" t="s">
        <v>471</v>
      </c>
      <c r="M44" s="9" t="s">
        <v>472</v>
      </c>
      <c r="N44" s="9" t="s">
        <v>473</v>
      </c>
      <c r="O44" s="9" t="s">
        <v>474</v>
      </c>
      <c r="P44" s="9" t="s">
        <v>475</v>
      </c>
      <c r="Q44" s="9" t="s">
        <v>476</v>
      </c>
      <c r="R44" s="9" t="s">
        <v>477</v>
      </c>
      <c r="S44" s="9" t="s">
        <v>478</v>
      </c>
      <c r="T44" s="9" t="s">
        <v>431</v>
      </c>
      <c r="U44" s="9" t="s">
        <v>432</v>
      </c>
      <c r="V44" s="9" t="s">
        <v>433</v>
      </c>
      <c r="W44" s="9" t="s">
        <v>434</v>
      </c>
      <c r="X44" s="9" t="s">
        <v>435</v>
      </c>
      <c r="Y44" s="9" t="s">
        <v>436</v>
      </c>
      <c r="Z44" s="9" t="s">
        <v>437</v>
      </c>
      <c r="AA44" s="9" t="s">
        <v>438</v>
      </c>
      <c r="AB44" s="9" t="s">
        <v>439</v>
      </c>
      <c r="AC44" s="9" t="s">
        <v>440</v>
      </c>
      <c r="AD44" s="9" t="s">
        <v>441</v>
      </c>
      <c r="AE44" s="9" t="s">
        <v>442</v>
      </c>
      <c r="AF44" s="9" t="s">
        <v>443</v>
      </c>
      <c r="AG44" s="9" t="s">
        <v>444</v>
      </c>
      <c r="AH44" s="9" t="s">
        <v>445</v>
      </c>
      <c r="AI44" s="9" t="s">
        <v>446</v>
      </c>
    </row>
    <row r="45" spans="1:35" x14ac:dyDescent="0.2">
      <c r="A45" t="s">
        <v>187</v>
      </c>
      <c r="B45" s="9">
        <v>24</v>
      </c>
      <c r="C45" s="9">
        <v>8</v>
      </c>
      <c r="D45" s="9" t="s">
        <v>431</v>
      </c>
      <c r="E45" s="9" t="s">
        <v>432</v>
      </c>
      <c r="F45" s="9" t="s">
        <v>433</v>
      </c>
      <c r="G45" s="9" t="s">
        <v>434</v>
      </c>
      <c r="H45" s="9" t="s">
        <v>435</v>
      </c>
      <c r="I45" s="9" t="s">
        <v>436</v>
      </c>
      <c r="J45" s="9" t="s">
        <v>437</v>
      </c>
      <c r="K45" s="9" t="s">
        <v>438</v>
      </c>
      <c r="L45" s="9" t="s">
        <v>471</v>
      </c>
      <c r="M45" s="9" t="s">
        <v>472</v>
      </c>
      <c r="N45" s="9" t="s">
        <v>473</v>
      </c>
      <c r="O45" s="9" t="s">
        <v>474</v>
      </c>
      <c r="P45" s="9" t="s">
        <v>475</v>
      </c>
      <c r="Q45" s="9" t="s">
        <v>476</v>
      </c>
      <c r="R45" s="9" t="s">
        <v>477</v>
      </c>
      <c r="S45" s="9" t="s">
        <v>478</v>
      </c>
      <c r="T45" s="9" t="s">
        <v>431</v>
      </c>
      <c r="U45" s="9" t="s">
        <v>432</v>
      </c>
      <c r="V45" s="9" t="s">
        <v>433</v>
      </c>
      <c r="W45" s="9" t="s">
        <v>434</v>
      </c>
      <c r="X45" s="9" t="s">
        <v>435</v>
      </c>
      <c r="Y45" s="9" t="s">
        <v>436</v>
      </c>
      <c r="Z45" s="9" t="s">
        <v>437</v>
      </c>
      <c r="AA45" s="9" t="s">
        <v>438</v>
      </c>
      <c r="AB45" s="9" t="s">
        <v>439</v>
      </c>
      <c r="AC45" s="9" t="s">
        <v>440</v>
      </c>
      <c r="AD45" s="9" t="s">
        <v>441</v>
      </c>
      <c r="AE45" s="9" t="s">
        <v>442</v>
      </c>
      <c r="AF45" s="9" t="s">
        <v>443</v>
      </c>
      <c r="AG45" s="9" t="s">
        <v>444</v>
      </c>
      <c r="AH45" s="9" t="s">
        <v>445</v>
      </c>
      <c r="AI45" s="9" t="s">
        <v>446</v>
      </c>
    </row>
    <row r="46" spans="1:35" x14ac:dyDescent="0.2">
      <c r="A46" t="s">
        <v>189</v>
      </c>
      <c r="B46" s="9">
        <v>24</v>
      </c>
      <c r="C46" s="9">
        <v>8</v>
      </c>
      <c r="D46" s="9" t="s">
        <v>431</v>
      </c>
      <c r="E46" s="9" t="s">
        <v>432</v>
      </c>
      <c r="F46" s="9" t="s">
        <v>433</v>
      </c>
      <c r="G46" s="9" t="s">
        <v>434</v>
      </c>
      <c r="H46" s="9" t="s">
        <v>435</v>
      </c>
      <c r="I46" s="9" t="s">
        <v>436</v>
      </c>
      <c r="J46" s="9" t="s">
        <v>437</v>
      </c>
      <c r="K46" s="9" t="s">
        <v>438</v>
      </c>
      <c r="L46" s="9" t="s">
        <v>471</v>
      </c>
      <c r="M46" s="9" t="s">
        <v>472</v>
      </c>
      <c r="N46" s="9" t="s">
        <v>473</v>
      </c>
      <c r="O46" s="9" t="s">
        <v>474</v>
      </c>
      <c r="P46" s="9" t="s">
        <v>475</v>
      </c>
      <c r="Q46" s="9" t="s">
        <v>476</v>
      </c>
      <c r="R46" s="9" t="s">
        <v>477</v>
      </c>
      <c r="S46" s="9" t="s">
        <v>478</v>
      </c>
      <c r="T46" s="9" t="s">
        <v>431</v>
      </c>
      <c r="U46" s="9" t="s">
        <v>432</v>
      </c>
      <c r="V46" s="9" t="s">
        <v>433</v>
      </c>
      <c r="W46" s="9" t="s">
        <v>434</v>
      </c>
      <c r="X46" s="9" t="s">
        <v>435</v>
      </c>
      <c r="Y46" s="9" t="s">
        <v>436</v>
      </c>
      <c r="Z46" s="9" t="s">
        <v>437</v>
      </c>
      <c r="AA46" s="9" t="s">
        <v>438</v>
      </c>
      <c r="AB46" s="9" t="s">
        <v>439</v>
      </c>
      <c r="AC46" s="9" t="s">
        <v>440</v>
      </c>
      <c r="AD46" s="9" t="s">
        <v>441</v>
      </c>
      <c r="AE46" s="9" t="s">
        <v>442</v>
      </c>
      <c r="AF46" s="9" t="s">
        <v>443</v>
      </c>
      <c r="AG46" s="9" t="s">
        <v>444</v>
      </c>
      <c r="AH46" s="9" t="s">
        <v>445</v>
      </c>
      <c r="AI46" s="9" t="s">
        <v>446</v>
      </c>
    </row>
    <row r="47" spans="1:35" x14ac:dyDescent="0.2">
      <c r="A47" t="s">
        <v>191</v>
      </c>
      <c r="B47" s="9">
        <v>32</v>
      </c>
      <c r="C47" s="9">
        <v>0</v>
      </c>
      <c r="D47" s="9" t="s">
        <v>431</v>
      </c>
      <c r="E47" s="9" t="s">
        <v>432</v>
      </c>
      <c r="F47" s="9" t="s">
        <v>433</v>
      </c>
      <c r="G47" s="9" t="s">
        <v>434</v>
      </c>
      <c r="H47" s="9" t="s">
        <v>435</v>
      </c>
      <c r="I47" s="9" t="s">
        <v>436</v>
      </c>
      <c r="J47" s="9" t="s">
        <v>437</v>
      </c>
      <c r="K47" s="9" t="s">
        <v>438</v>
      </c>
      <c r="L47" s="9" t="s">
        <v>471</v>
      </c>
      <c r="M47" s="9" t="s">
        <v>472</v>
      </c>
      <c r="N47" s="9" t="s">
        <v>473</v>
      </c>
      <c r="O47" s="9" t="s">
        <v>474</v>
      </c>
      <c r="P47" s="9" t="s">
        <v>475</v>
      </c>
      <c r="Q47" s="9" t="s">
        <v>476</v>
      </c>
      <c r="R47" s="9" t="s">
        <v>477</v>
      </c>
      <c r="S47" s="9" t="s">
        <v>478</v>
      </c>
      <c r="T47" s="9" t="s">
        <v>479</v>
      </c>
      <c r="U47" s="9" t="s">
        <v>480</v>
      </c>
      <c r="V47" s="9" t="s">
        <v>481</v>
      </c>
      <c r="W47" s="9" t="s">
        <v>482</v>
      </c>
      <c r="X47" s="9" t="s">
        <v>483</v>
      </c>
      <c r="Y47" s="9" t="s">
        <v>484</v>
      </c>
      <c r="Z47" s="9" t="s">
        <v>485</v>
      </c>
      <c r="AA47" s="9" t="s">
        <v>486</v>
      </c>
      <c r="AB47" s="9" t="s">
        <v>487</v>
      </c>
      <c r="AC47" s="9" t="s">
        <v>488</v>
      </c>
      <c r="AD47" s="9" t="s">
        <v>489</v>
      </c>
      <c r="AE47" s="9" t="s">
        <v>490</v>
      </c>
      <c r="AF47" s="9" t="s">
        <v>491</v>
      </c>
      <c r="AG47" s="9" t="s">
        <v>492</v>
      </c>
      <c r="AH47" s="9" t="s">
        <v>493</v>
      </c>
      <c r="AI47" s="9" t="s">
        <v>494</v>
      </c>
    </row>
    <row r="48" spans="1:35" x14ac:dyDescent="0.2">
      <c r="A48" t="s">
        <v>192</v>
      </c>
      <c r="B48" s="9">
        <v>32</v>
      </c>
      <c r="C48" s="9">
        <v>0</v>
      </c>
      <c r="D48" s="9" t="s">
        <v>431</v>
      </c>
      <c r="E48" s="9" t="s">
        <v>432</v>
      </c>
      <c r="F48" s="9" t="s">
        <v>433</v>
      </c>
      <c r="G48" s="9" t="s">
        <v>434</v>
      </c>
      <c r="H48" s="9" t="s">
        <v>435</v>
      </c>
      <c r="I48" s="9" t="s">
        <v>436</v>
      </c>
      <c r="J48" s="9" t="s">
        <v>437</v>
      </c>
      <c r="K48" s="9" t="s">
        <v>438</v>
      </c>
      <c r="L48" s="9" t="s">
        <v>471</v>
      </c>
      <c r="M48" s="9" t="s">
        <v>472</v>
      </c>
      <c r="N48" s="9" t="s">
        <v>473</v>
      </c>
      <c r="O48" s="9" t="s">
        <v>474</v>
      </c>
      <c r="P48" s="9" t="s">
        <v>475</v>
      </c>
      <c r="Q48" s="9" t="s">
        <v>476</v>
      </c>
      <c r="R48" s="9" t="s">
        <v>477</v>
      </c>
      <c r="S48" s="9" t="s">
        <v>478</v>
      </c>
      <c r="T48" s="9" t="s">
        <v>479</v>
      </c>
      <c r="U48" s="9" t="s">
        <v>480</v>
      </c>
      <c r="V48" s="9" t="s">
        <v>481</v>
      </c>
      <c r="W48" s="9" t="s">
        <v>482</v>
      </c>
      <c r="X48" s="9" t="s">
        <v>483</v>
      </c>
      <c r="Y48" s="9" t="s">
        <v>484</v>
      </c>
      <c r="Z48" s="9" t="s">
        <v>485</v>
      </c>
      <c r="AA48" s="9" t="s">
        <v>486</v>
      </c>
      <c r="AB48" s="9" t="s">
        <v>487</v>
      </c>
      <c r="AC48" s="9" t="s">
        <v>488</v>
      </c>
      <c r="AD48" s="9" t="s">
        <v>489</v>
      </c>
      <c r="AE48" s="9" t="s">
        <v>490</v>
      </c>
      <c r="AF48" s="9" t="s">
        <v>491</v>
      </c>
      <c r="AG48" s="9" t="s">
        <v>492</v>
      </c>
      <c r="AH48" s="9" t="s">
        <v>493</v>
      </c>
      <c r="AI48" s="9" t="s">
        <v>494</v>
      </c>
    </row>
    <row r="49" spans="1:35" x14ac:dyDescent="0.2">
      <c r="A49" t="s">
        <v>193</v>
      </c>
      <c r="B49" s="9">
        <v>32</v>
      </c>
      <c r="C49" s="9">
        <v>0</v>
      </c>
      <c r="D49" s="9" t="s">
        <v>431</v>
      </c>
      <c r="E49" s="9" t="s">
        <v>432</v>
      </c>
      <c r="F49" s="9" t="s">
        <v>433</v>
      </c>
      <c r="G49" s="9" t="s">
        <v>434</v>
      </c>
      <c r="H49" s="9" t="s">
        <v>435</v>
      </c>
      <c r="I49" s="9" t="s">
        <v>436</v>
      </c>
      <c r="J49" s="9" t="s">
        <v>437</v>
      </c>
      <c r="K49" s="9" t="s">
        <v>438</v>
      </c>
      <c r="L49" s="9" t="s">
        <v>471</v>
      </c>
      <c r="M49" s="9" t="s">
        <v>472</v>
      </c>
      <c r="N49" s="9" t="s">
        <v>473</v>
      </c>
      <c r="O49" s="9" t="s">
        <v>474</v>
      </c>
      <c r="P49" s="9" t="s">
        <v>475</v>
      </c>
      <c r="Q49" s="9" t="s">
        <v>476</v>
      </c>
      <c r="R49" s="9" t="s">
        <v>477</v>
      </c>
      <c r="S49" s="9" t="s">
        <v>478</v>
      </c>
      <c r="T49" s="9" t="s">
        <v>479</v>
      </c>
      <c r="U49" s="9" t="s">
        <v>480</v>
      </c>
      <c r="V49" s="9" t="s">
        <v>481</v>
      </c>
      <c r="W49" s="9" t="s">
        <v>482</v>
      </c>
      <c r="X49" s="9" t="s">
        <v>483</v>
      </c>
      <c r="Y49" s="9" t="s">
        <v>484</v>
      </c>
      <c r="Z49" s="9" t="s">
        <v>485</v>
      </c>
      <c r="AA49" s="9" t="s">
        <v>486</v>
      </c>
      <c r="AB49" s="9" t="s">
        <v>487</v>
      </c>
      <c r="AC49" s="9" t="s">
        <v>488</v>
      </c>
      <c r="AD49" s="9" t="s">
        <v>489</v>
      </c>
      <c r="AE49" s="9" t="s">
        <v>490</v>
      </c>
      <c r="AF49" s="9" t="s">
        <v>491</v>
      </c>
      <c r="AG49" s="9" t="s">
        <v>492</v>
      </c>
      <c r="AH49" s="9" t="s">
        <v>493</v>
      </c>
      <c r="AI49" s="9" t="s">
        <v>494</v>
      </c>
    </row>
    <row r="50" spans="1:35" x14ac:dyDescent="0.2">
      <c r="A50" t="s">
        <v>194</v>
      </c>
      <c r="B50" s="9">
        <v>32</v>
      </c>
      <c r="C50" s="9">
        <v>0</v>
      </c>
      <c r="D50" s="9" t="s">
        <v>431</v>
      </c>
      <c r="E50" s="9" t="s">
        <v>432</v>
      </c>
      <c r="F50" s="9" t="s">
        <v>433</v>
      </c>
      <c r="G50" s="9" t="s">
        <v>434</v>
      </c>
      <c r="H50" s="9" t="s">
        <v>435</v>
      </c>
      <c r="I50" s="9" t="s">
        <v>436</v>
      </c>
      <c r="J50" s="9" t="s">
        <v>437</v>
      </c>
      <c r="K50" s="9" t="s">
        <v>438</v>
      </c>
      <c r="L50" s="9" t="s">
        <v>471</v>
      </c>
      <c r="M50" s="9" t="s">
        <v>472</v>
      </c>
      <c r="N50" s="9" t="s">
        <v>473</v>
      </c>
      <c r="O50" s="9" t="s">
        <v>474</v>
      </c>
      <c r="P50" s="9" t="s">
        <v>475</v>
      </c>
      <c r="Q50" s="9" t="s">
        <v>476</v>
      </c>
      <c r="R50" s="9" t="s">
        <v>477</v>
      </c>
      <c r="S50" s="9" t="s">
        <v>478</v>
      </c>
      <c r="T50" s="9" t="s">
        <v>479</v>
      </c>
      <c r="U50" s="9" t="s">
        <v>480</v>
      </c>
      <c r="V50" s="9" t="s">
        <v>481</v>
      </c>
      <c r="W50" s="9" t="s">
        <v>482</v>
      </c>
      <c r="X50" s="9" t="s">
        <v>483</v>
      </c>
      <c r="Y50" s="9" t="s">
        <v>484</v>
      </c>
      <c r="Z50" s="9" t="s">
        <v>485</v>
      </c>
      <c r="AA50" s="9" t="s">
        <v>486</v>
      </c>
      <c r="AB50" s="9" t="s">
        <v>487</v>
      </c>
      <c r="AC50" s="9" t="s">
        <v>488</v>
      </c>
      <c r="AD50" s="9" t="s">
        <v>489</v>
      </c>
      <c r="AE50" s="9" t="s">
        <v>490</v>
      </c>
      <c r="AF50" s="9" t="s">
        <v>491</v>
      </c>
      <c r="AG50" s="9" t="s">
        <v>492</v>
      </c>
      <c r="AH50" s="9" t="s">
        <v>493</v>
      </c>
      <c r="AI50" s="9" t="s">
        <v>494</v>
      </c>
    </row>
    <row r="51" spans="1:35" x14ac:dyDescent="0.2">
      <c r="A51" t="s">
        <v>17</v>
      </c>
      <c r="B51" s="9">
        <v>0</v>
      </c>
      <c r="C51" s="9">
        <v>32</v>
      </c>
      <c r="D51" s="9" t="s">
        <v>439</v>
      </c>
      <c r="E51" s="9" t="s">
        <v>440</v>
      </c>
      <c r="F51" s="9" t="s">
        <v>441</v>
      </c>
      <c r="G51" s="9" t="s">
        <v>442</v>
      </c>
      <c r="H51" s="9" t="s">
        <v>443</v>
      </c>
      <c r="I51" s="9" t="s">
        <v>444</v>
      </c>
      <c r="J51" s="9" t="s">
        <v>445</v>
      </c>
      <c r="K51" s="9" t="s">
        <v>446</v>
      </c>
      <c r="L51" s="9" t="s">
        <v>447</v>
      </c>
      <c r="M51" s="9" t="s">
        <v>448</v>
      </c>
      <c r="N51" s="9" t="s">
        <v>449</v>
      </c>
      <c r="O51" s="9" t="s">
        <v>450</v>
      </c>
      <c r="P51" s="9" t="s">
        <v>451</v>
      </c>
      <c r="Q51" s="9" t="s">
        <v>452</v>
      </c>
      <c r="R51" s="9" t="s">
        <v>453</v>
      </c>
      <c r="S51" s="9" t="s">
        <v>454</v>
      </c>
      <c r="T51" s="9" t="s">
        <v>455</v>
      </c>
      <c r="U51" s="9" t="s">
        <v>456</v>
      </c>
      <c r="V51" s="9" t="s">
        <v>457</v>
      </c>
      <c r="W51" s="9" t="s">
        <v>458</v>
      </c>
      <c r="X51" s="9" t="s">
        <v>483</v>
      </c>
      <c r="Y51" s="9" t="s">
        <v>460</v>
      </c>
      <c r="Z51" s="9" t="s">
        <v>461</v>
      </c>
      <c r="AA51" s="9" t="s">
        <v>462</v>
      </c>
      <c r="AB51" s="9" t="s">
        <v>463</v>
      </c>
      <c r="AC51" s="9" t="s">
        <v>464</v>
      </c>
      <c r="AD51" s="9" t="s">
        <v>465</v>
      </c>
      <c r="AE51" s="9" t="s">
        <v>466</v>
      </c>
      <c r="AF51" s="9" t="s">
        <v>467</v>
      </c>
      <c r="AG51" s="9" t="s">
        <v>468</v>
      </c>
      <c r="AH51" s="9" t="s">
        <v>469</v>
      </c>
      <c r="AI51" s="9" t="s">
        <v>470</v>
      </c>
    </row>
    <row r="52" spans="1:35" x14ac:dyDescent="0.2">
      <c r="A52" t="s">
        <v>195</v>
      </c>
      <c r="B52" s="9">
        <v>0</v>
      </c>
      <c r="C52" s="9">
        <v>32</v>
      </c>
      <c r="D52" s="9" t="s">
        <v>439</v>
      </c>
      <c r="E52" s="9" t="s">
        <v>440</v>
      </c>
      <c r="F52" s="9" t="s">
        <v>441</v>
      </c>
      <c r="G52" s="9" t="s">
        <v>442</v>
      </c>
      <c r="H52" s="9" t="s">
        <v>443</v>
      </c>
      <c r="I52" s="9" t="s">
        <v>444</v>
      </c>
      <c r="J52" s="9" t="s">
        <v>445</v>
      </c>
      <c r="K52" s="9" t="s">
        <v>446</v>
      </c>
      <c r="L52" s="9" t="s">
        <v>447</v>
      </c>
      <c r="M52" s="9" t="s">
        <v>448</v>
      </c>
      <c r="N52" s="9" t="s">
        <v>449</v>
      </c>
      <c r="O52" s="9" t="s">
        <v>450</v>
      </c>
      <c r="P52" s="9" t="s">
        <v>451</v>
      </c>
      <c r="Q52" s="9" t="s">
        <v>452</v>
      </c>
      <c r="R52" s="9" t="s">
        <v>453</v>
      </c>
      <c r="S52" s="9" t="s">
        <v>454</v>
      </c>
      <c r="T52" s="9" t="s">
        <v>455</v>
      </c>
      <c r="U52" s="9" t="s">
        <v>456</v>
      </c>
      <c r="V52" s="9" t="s">
        <v>457</v>
      </c>
      <c r="W52" s="9" t="s">
        <v>458</v>
      </c>
      <c r="X52" s="9" t="s">
        <v>483</v>
      </c>
      <c r="Y52" s="9" t="s">
        <v>460</v>
      </c>
      <c r="Z52" s="9" t="s">
        <v>461</v>
      </c>
      <c r="AA52" s="9" t="s">
        <v>462</v>
      </c>
      <c r="AB52" s="9" t="s">
        <v>463</v>
      </c>
      <c r="AC52" s="9" t="s">
        <v>464</v>
      </c>
      <c r="AD52" s="9" t="s">
        <v>465</v>
      </c>
      <c r="AE52" s="9" t="s">
        <v>466</v>
      </c>
      <c r="AF52" s="9" t="s">
        <v>467</v>
      </c>
      <c r="AG52" s="9" t="s">
        <v>468</v>
      </c>
      <c r="AH52" s="9" t="s">
        <v>469</v>
      </c>
      <c r="AI52" s="9" t="s">
        <v>470</v>
      </c>
    </row>
    <row r="53" spans="1:35" x14ac:dyDescent="0.2">
      <c r="A53" t="s">
        <v>196</v>
      </c>
      <c r="B53" s="9">
        <v>0</v>
      </c>
      <c r="C53" s="9">
        <v>32</v>
      </c>
      <c r="D53" s="9" t="s">
        <v>439</v>
      </c>
      <c r="E53" s="9" t="s">
        <v>440</v>
      </c>
      <c r="F53" s="9" t="s">
        <v>441</v>
      </c>
      <c r="G53" s="9" t="s">
        <v>442</v>
      </c>
      <c r="H53" s="9" t="s">
        <v>443</v>
      </c>
      <c r="I53" s="9" t="s">
        <v>444</v>
      </c>
      <c r="J53" s="9" t="s">
        <v>445</v>
      </c>
      <c r="K53" s="9" t="s">
        <v>446</v>
      </c>
      <c r="L53" s="9" t="s">
        <v>447</v>
      </c>
      <c r="M53" s="9" t="s">
        <v>448</v>
      </c>
      <c r="N53" s="9" t="s">
        <v>449</v>
      </c>
      <c r="O53" s="9" t="s">
        <v>450</v>
      </c>
      <c r="P53" s="9" t="s">
        <v>451</v>
      </c>
      <c r="Q53" s="9" t="s">
        <v>452</v>
      </c>
      <c r="R53" s="9" t="s">
        <v>453</v>
      </c>
      <c r="S53" s="9" t="s">
        <v>454</v>
      </c>
      <c r="T53" s="9" t="s">
        <v>455</v>
      </c>
      <c r="U53" s="9" t="s">
        <v>456</v>
      </c>
      <c r="V53" s="9" t="s">
        <v>457</v>
      </c>
      <c r="W53" s="9" t="s">
        <v>458</v>
      </c>
      <c r="X53" s="9" t="s">
        <v>483</v>
      </c>
      <c r="Y53" s="9" t="s">
        <v>460</v>
      </c>
      <c r="Z53" s="9" t="s">
        <v>461</v>
      </c>
      <c r="AA53" s="9" t="s">
        <v>462</v>
      </c>
      <c r="AB53" s="9" t="s">
        <v>463</v>
      </c>
      <c r="AC53" s="9" t="s">
        <v>464</v>
      </c>
      <c r="AD53" s="9" t="s">
        <v>465</v>
      </c>
      <c r="AE53" s="9" t="s">
        <v>466</v>
      </c>
      <c r="AF53" s="9" t="s">
        <v>467</v>
      </c>
      <c r="AG53" s="9" t="s">
        <v>468</v>
      </c>
      <c r="AH53" s="9" t="s">
        <v>469</v>
      </c>
      <c r="AI53" s="9" t="s">
        <v>470</v>
      </c>
    </row>
    <row r="54" spans="1:35" x14ac:dyDescent="0.2">
      <c r="A54" t="s">
        <v>197</v>
      </c>
      <c r="B54" s="9">
        <v>0</v>
      </c>
      <c r="C54" s="9">
        <v>32</v>
      </c>
      <c r="D54" s="9" t="s">
        <v>439</v>
      </c>
      <c r="E54" s="9" t="s">
        <v>440</v>
      </c>
      <c r="F54" s="9" t="s">
        <v>441</v>
      </c>
      <c r="G54" s="9" t="s">
        <v>442</v>
      </c>
      <c r="H54" s="9" t="s">
        <v>443</v>
      </c>
      <c r="I54" s="9" t="s">
        <v>444</v>
      </c>
      <c r="J54" s="9" t="s">
        <v>445</v>
      </c>
      <c r="K54" s="9" t="s">
        <v>446</v>
      </c>
      <c r="L54" s="9" t="s">
        <v>447</v>
      </c>
      <c r="M54" s="9" t="s">
        <v>448</v>
      </c>
      <c r="N54" s="9" t="s">
        <v>449</v>
      </c>
      <c r="O54" s="9" t="s">
        <v>450</v>
      </c>
      <c r="P54" s="9" t="s">
        <v>451</v>
      </c>
      <c r="Q54" s="9" t="s">
        <v>452</v>
      </c>
      <c r="R54" s="9" t="s">
        <v>453</v>
      </c>
      <c r="S54" s="9" t="s">
        <v>454</v>
      </c>
      <c r="T54" s="9" t="s">
        <v>455</v>
      </c>
      <c r="U54" s="9" t="s">
        <v>456</v>
      </c>
      <c r="V54" s="9" t="s">
        <v>457</v>
      </c>
      <c r="W54" s="9" t="s">
        <v>458</v>
      </c>
      <c r="X54" s="9" t="s">
        <v>483</v>
      </c>
      <c r="Y54" s="9" t="s">
        <v>460</v>
      </c>
      <c r="Z54" s="9" t="s">
        <v>461</v>
      </c>
      <c r="AA54" s="9" t="s">
        <v>462</v>
      </c>
      <c r="AB54" s="9" t="s">
        <v>463</v>
      </c>
      <c r="AC54" s="9" t="s">
        <v>464</v>
      </c>
      <c r="AD54" s="9" t="s">
        <v>465</v>
      </c>
      <c r="AE54" s="9" t="s">
        <v>466</v>
      </c>
      <c r="AF54" s="9" t="s">
        <v>467</v>
      </c>
      <c r="AG54" s="9" t="s">
        <v>468</v>
      </c>
      <c r="AH54" s="9" t="s">
        <v>469</v>
      </c>
      <c r="AI54" s="9" t="s">
        <v>470</v>
      </c>
    </row>
    <row r="55" spans="1:35" x14ac:dyDescent="0.2">
      <c r="A55" t="s">
        <v>198</v>
      </c>
      <c r="B55" s="9">
        <v>8</v>
      </c>
      <c r="C55" s="9">
        <v>24</v>
      </c>
      <c r="D55" s="9" t="s">
        <v>431</v>
      </c>
      <c r="E55" s="9" t="s">
        <v>432</v>
      </c>
      <c r="F55" s="9" t="s">
        <v>433</v>
      </c>
      <c r="G55" s="9" t="s">
        <v>434</v>
      </c>
      <c r="H55" s="9" t="s">
        <v>435</v>
      </c>
      <c r="I55" s="9" t="s">
        <v>436</v>
      </c>
      <c r="J55" s="9" t="s">
        <v>437</v>
      </c>
      <c r="K55" s="9" t="s">
        <v>438</v>
      </c>
      <c r="L55" s="9" t="s">
        <v>439</v>
      </c>
      <c r="M55" s="9" t="s">
        <v>440</v>
      </c>
      <c r="N55" s="9" t="s">
        <v>441</v>
      </c>
      <c r="O55" s="9" t="s">
        <v>442</v>
      </c>
      <c r="P55" s="9" t="s">
        <v>443</v>
      </c>
      <c r="Q55" s="9" t="s">
        <v>444</v>
      </c>
      <c r="R55" s="9" t="s">
        <v>445</v>
      </c>
      <c r="S55" s="9" t="s">
        <v>446</v>
      </c>
      <c r="T55" s="9" t="s">
        <v>439</v>
      </c>
      <c r="U55" s="9" t="s">
        <v>440</v>
      </c>
      <c r="V55" s="9" t="s">
        <v>441</v>
      </c>
      <c r="W55" s="9" t="s">
        <v>442</v>
      </c>
      <c r="X55" s="9" t="s">
        <v>443</v>
      </c>
      <c r="Y55" s="9" t="s">
        <v>444</v>
      </c>
      <c r="Z55" s="9" t="s">
        <v>445</v>
      </c>
      <c r="AA55" s="9" t="s">
        <v>446</v>
      </c>
      <c r="AB55" s="9" t="s">
        <v>447</v>
      </c>
      <c r="AC55" s="9" t="s">
        <v>448</v>
      </c>
      <c r="AD55" s="9" t="s">
        <v>449</v>
      </c>
      <c r="AE55" s="9" t="s">
        <v>450</v>
      </c>
      <c r="AF55" s="9" t="s">
        <v>451</v>
      </c>
      <c r="AG55" s="9" t="s">
        <v>452</v>
      </c>
      <c r="AH55" s="9" t="s">
        <v>453</v>
      </c>
      <c r="AI55" s="9" t="s">
        <v>454</v>
      </c>
    </row>
    <row r="56" spans="1:35" x14ac:dyDescent="0.2">
      <c r="A56" t="s">
        <v>199</v>
      </c>
      <c r="B56" s="9">
        <v>8</v>
      </c>
      <c r="C56" s="9">
        <v>24</v>
      </c>
      <c r="D56" s="9" t="s">
        <v>431</v>
      </c>
      <c r="E56" s="9" t="s">
        <v>432</v>
      </c>
      <c r="F56" s="9" t="s">
        <v>433</v>
      </c>
      <c r="G56" s="9" t="s">
        <v>434</v>
      </c>
      <c r="H56" s="9" t="s">
        <v>435</v>
      </c>
      <c r="I56" s="9" t="s">
        <v>436</v>
      </c>
      <c r="J56" s="9" t="s">
        <v>437</v>
      </c>
      <c r="K56" s="9" t="s">
        <v>438</v>
      </c>
      <c r="L56" s="9" t="s">
        <v>439</v>
      </c>
      <c r="M56" s="9" t="s">
        <v>440</v>
      </c>
      <c r="N56" s="9" t="s">
        <v>441</v>
      </c>
      <c r="O56" s="9" t="s">
        <v>442</v>
      </c>
      <c r="P56" s="9" t="s">
        <v>443</v>
      </c>
      <c r="Q56" s="9" t="s">
        <v>444</v>
      </c>
      <c r="R56" s="9" t="s">
        <v>445</v>
      </c>
      <c r="S56" s="9" t="s">
        <v>446</v>
      </c>
      <c r="T56" s="9" t="s">
        <v>439</v>
      </c>
      <c r="U56" s="9" t="s">
        <v>440</v>
      </c>
      <c r="V56" s="9" t="s">
        <v>441</v>
      </c>
      <c r="W56" s="9" t="s">
        <v>442</v>
      </c>
      <c r="X56" s="9" t="s">
        <v>443</v>
      </c>
      <c r="Y56" s="9" t="s">
        <v>444</v>
      </c>
      <c r="Z56" s="9" t="s">
        <v>445</v>
      </c>
      <c r="AA56" s="9" t="s">
        <v>446</v>
      </c>
      <c r="AB56" s="9" t="s">
        <v>447</v>
      </c>
      <c r="AC56" s="9" t="s">
        <v>448</v>
      </c>
      <c r="AD56" s="9" t="s">
        <v>449</v>
      </c>
      <c r="AE56" s="9" t="s">
        <v>450</v>
      </c>
      <c r="AF56" s="9" t="s">
        <v>451</v>
      </c>
      <c r="AG56" s="9" t="s">
        <v>452</v>
      </c>
      <c r="AH56" s="9" t="s">
        <v>453</v>
      </c>
      <c r="AI56" s="9" t="s">
        <v>454</v>
      </c>
    </row>
    <row r="57" spans="1:35" x14ac:dyDescent="0.2">
      <c r="A57" t="s">
        <v>200</v>
      </c>
      <c r="B57" s="9">
        <v>8</v>
      </c>
      <c r="C57" s="9">
        <v>24</v>
      </c>
      <c r="D57" s="9" t="s">
        <v>431</v>
      </c>
      <c r="E57" s="9" t="s">
        <v>432</v>
      </c>
      <c r="F57" s="9" t="s">
        <v>433</v>
      </c>
      <c r="G57" s="9" t="s">
        <v>434</v>
      </c>
      <c r="H57" s="9" t="s">
        <v>435</v>
      </c>
      <c r="I57" s="9" t="s">
        <v>436</v>
      </c>
      <c r="J57" s="9" t="s">
        <v>437</v>
      </c>
      <c r="K57" s="9" t="s">
        <v>438</v>
      </c>
      <c r="L57" s="9" t="s">
        <v>439</v>
      </c>
      <c r="M57" s="9" t="s">
        <v>440</v>
      </c>
      <c r="N57" s="9" t="s">
        <v>441</v>
      </c>
      <c r="O57" s="9" t="s">
        <v>442</v>
      </c>
      <c r="P57" s="9" t="s">
        <v>443</v>
      </c>
      <c r="Q57" s="9" t="s">
        <v>444</v>
      </c>
      <c r="R57" s="9" t="s">
        <v>445</v>
      </c>
      <c r="S57" s="9" t="s">
        <v>446</v>
      </c>
      <c r="T57" s="9" t="s">
        <v>439</v>
      </c>
      <c r="U57" s="9" t="s">
        <v>440</v>
      </c>
      <c r="V57" s="9" t="s">
        <v>441</v>
      </c>
      <c r="W57" s="9" t="s">
        <v>442</v>
      </c>
      <c r="X57" s="9" t="s">
        <v>443</v>
      </c>
      <c r="Y57" s="9" t="s">
        <v>444</v>
      </c>
      <c r="Z57" s="9" t="s">
        <v>445</v>
      </c>
      <c r="AA57" s="9" t="s">
        <v>446</v>
      </c>
      <c r="AB57" s="9" t="s">
        <v>447</v>
      </c>
      <c r="AC57" s="9" t="s">
        <v>448</v>
      </c>
      <c r="AD57" s="9" t="s">
        <v>449</v>
      </c>
      <c r="AE57" s="9" t="s">
        <v>450</v>
      </c>
      <c r="AF57" s="9" t="s">
        <v>451</v>
      </c>
      <c r="AG57" s="9" t="s">
        <v>452</v>
      </c>
      <c r="AH57" s="9" t="s">
        <v>453</v>
      </c>
      <c r="AI57" s="9" t="s">
        <v>454</v>
      </c>
    </row>
    <row r="58" spans="1:35" x14ac:dyDescent="0.2">
      <c r="A58" t="s">
        <v>201</v>
      </c>
      <c r="B58" s="9">
        <v>8</v>
      </c>
      <c r="C58" s="9">
        <v>24</v>
      </c>
      <c r="D58" s="9" t="s">
        <v>431</v>
      </c>
      <c r="E58" s="9" t="s">
        <v>432</v>
      </c>
      <c r="F58" s="9" t="s">
        <v>433</v>
      </c>
      <c r="G58" s="9" t="s">
        <v>434</v>
      </c>
      <c r="H58" s="9" t="s">
        <v>435</v>
      </c>
      <c r="I58" s="9" t="s">
        <v>436</v>
      </c>
      <c r="J58" s="9" t="s">
        <v>437</v>
      </c>
      <c r="K58" s="9" t="s">
        <v>438</v>
      </c>
      <c r="L58" s="9" t="s">
        <v>439</v>
      </c>
      <c r="M58" s="9" t="s">
        <v>440</v>
      </c>
      <c r="N58" s="9" t="s">
        <v>441</v>
      </c>
      <c r="O58" s="9" t="s">
        <v>442</v>
      </c>
      <c r="P58" s="9" t="s">
        <v>443</v>
      </c>
      <c r="Q58" s="9" t="s">
        <v>444</v>
      </c>
      <c r="R58" s="9" t="s">
        <v>445</v>
      </c>
      <c r="S58" s="9" t="s">
        <v>446</v>
      </c>
      <c r="T58" s="9" t="s">
        <v>439</v>
      </c>
      <c r="U58" s="9" t="s">
        <v>440</v>
      </c>
      <c r="V58" s="9" t="s">
        <v>441</v>
      </c>
      <c r="W58" s="9" t="s">
        <v>442</v>
      </c>
      <c r="X58" s="9" t="s">
        <v>443</v>
      </c>
      <c r="Y58" s="9" t="s">
        <v>444</v>
      </c>
      <c r="Z58" s="9" t="s">
        <v>445</v>
      </c>
      <c r="AA58" s="9" t="s">
        <v>446</v>
      </c>
      <c r="AB58" s="9" t="s">
        <v>447</v>
      </c>
      <c r="AC58" s="9" t="s">
        <v>448</v>
      </c>
      <c r="AD58" s="9" t="s">
        <v>449</v>
      </c>
      <c r="AE58" s="9" t="s">
        <v>450</v>
      </c>
      <c r="AF58" s="9" t="s">
        <v>451</v>
      </c>
      <c r="AG58" s="9" t="s">
        <v>452</v>
      </c>
      <c r="AH58" s="9" t="s">
        <v>453</v>
      </c>
      <c r="AI58" s="9" t="s">
        <v>454</v>
      </c>
    </row>
    <row r="63" spans="1:35" x14ac:dyDescent="0.2">
      <c r="A63" t="s">
        <v>397</v>
      </c>
    </row>
  </sheetData>
  <sortState xmlns:xlrd2="http://schemas.microsoft.com/office/spreadsheetml/2017/richdata2" ref="A14:AI58">
    <sortCondition ref="A14:A58"/>
  </sortState>
  <mergeCells count="1">
    <mergeCell ref="A1:A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B1C42-F760-EE4E-9BAA-30DBBA4AB722}">
  <dimension ref="A1:B34"/>
  <sheetViews>
    <sheetView topLeftCell="A8" zoomScale="240" zoomScaleNormal="240" workbookViewId="0">
      <selection activeCell="A11" sqref="A11:XFD11"/>
    </sheetView>
  </sheetViews>
  <sheetFormatPr baseColWidth="10" defaultRowHeight="15" x14ac:dyDescent="0.2"/>
  <cols>
    <col min="1" max="1" width="16.5" style="21" customWidth="1"/>
    <col min="2" max="2" width="15.1640625" style="21" customWidth="1"/>
    <col min="3" max="16384" width="10.83203125" style="40"/>
  </cols>
  <sheetData>
    <row r="1" spans="1:2" s="258" customFormat="1" ht="19" x14ac:dyDescent="0.2">
      <c r="A1" s="258" t="s">
        <v>505</v>
      </c>
      <c r="B1" s="258" t="s">
        <v>506</v>
      </c>
    </row>
    <row r="2" spans="1:2" x14ac:dyDescent="0.2">
      <c r="A2" s="21" t="s">
        <v>507</v>
      </c>
      <c r="B2" s="21" t="s">
        <v>736</v>
      </c>
    </row>
    <row r="3" spans="1:2" x14ac:dyDescent="0.2">
      <c r="A3" s="21" t="s">
        <v>508</v>
      </c>
      <c r="B3" s="21" t="s">
        <v>737</v>
      </c>
    </row>
    <row r="4" spans="1:2" x14ac:dyDescent="0.2">
      <c r="A4" s="21" t="s">
        <v>509</v>
      </c>
      <c r="B4" s="21" t="s">
        <v>738</v>
      </c>
    </row>
    <row r="5" spans="1:2" x14ac:dyDescent="0.2">
      <c r="A5" s="21" t="s">
        <v>510</v>
      </c>
      <c r="B5" s="21" t="s">
        <v>739</v>
      </c>
    </row>
    <row r="6" spans="1:2" x14ac:dyDescent="0.2">
      <c r="A6" s="21" t="s">
        <v>511</v>
      </c>
      <c r="B6" s="21" t="s">
        <v>740</v>
      </c>
    </row>
    <row r="7" spans="1:2" x14ac:dyDescent="0.2">
      <c r="A7" s="21" t="s">
        <v>512</v>
      </c>
      <c r="B7" s="21" t="s">
        <v>741</v>
      </c>
    </row>
    <row r="8" spans="1:2" x14ac:dyDescent="0.2">
      <c r="A8" s="21" t="s">
        <v>513</v>
      </c>
      <c r="B8" s="21" t="s">
        <v>724</v>
      </c>
    </row>
    <row r="9" spans="1:2" x14ac:dyDescent="0.2">
      <c r="A9" s="21" t="s">
        <v>514</v>
      </c>
      <c r="B9" s="21" t="s">
        <v>725</v>
      </c>
    </row>
    <row r="10" spans="1:2" x14ac:dyDescent="0.2">
      <c r="A10" s="21" t="s">
        <v>515</v>
      </c>
      <c r="B10" s="21" t="s">
        <v>726</v>
      </c>
    </row>
    <row r="11" spans="1:2" x14ac:dyDescent="0.2">
      <c r="A11" s="21" t="s">
        <v>516</v>
      </c>
      <c r="B11" s="21" t="s">
        <v>727</v>
      </c>
    </row>
    <row r="12" spans="1:2" x14ac:dyDescent="0.2">
      <c r="A12" s="21" t="s">
        <v>517</v>
      </c>
      <c r="B12" s="21" t="s">
        <v>728</v>
      </c>
    </row>
    <row r="13" spans="1:2" x14ac:dyDescent="0.2">
      <c r="A13" s="21" t="s">
        <v>518</v>
      </c>
      <c r="B13" s="21" t="s">
        <v>729</v>
      </c>
    </row>
    <row r="14" spans="1:2" x14ac:dyDescent="0.2">
      <c r="A14" s="259" t="s">
        <v>519</v>
      </c>
      <c r="B14" s="21" t="s">
        <v>755</v>
      </c>
    </row>
    <row r="15" spans="1:2" x14ac:dyDescent="0.2">
      <c r="A15" s="259" t="s">
        <v>520</v>
      </c>
      <c r="B15" s="21" t="s">
        <v>756</v>
      </c>
    </row>
    <row r="16" spans="1:2" x14ac:dyDescent="0.2">
      <c r="A16" s="259" t="s">
        <v>521</v>
      </c>
      <c r="B16" s="21" t="s">
        <v>757</v>
      </c>
    </row>
    <row r="17" spans="1:2" x14ac:dyDescent="0.2">
      <c r="A17" s="259" t="s">
        <v>522</v>
      </c>
      <c r="B17" s="21" t="s">
        <v>758</v>
      </c>
    </row>
    <row r="18" spans="1:2" x14ac:dyDescent="0.2">
      <c r="A18" s="259" t="s">
        <v>523</v>
      </c>
      <c r="B18" s="21" t="s">
        <v>759</v>
      </c>
    </row>
    <row r="19" spans="1:2" x14ac:dyDescent="0.2">
      <c r="A19" s="259" t="s">
        <v>524</v>
      </c>
      <c r="B19" s="21" t="s">
        <v>760</v>
      </c>
    </row>
    <row r="20" spans="1:2" x14ac:dyDescent="0.2">
      <c r="A20" s="259" t="s">
        <v>525</v>
      </c>
      <c r="B20" s="21" t="s">
        <v>770</v>
      </c>
    </row>
    <row r="21" spans="1:2" x14ac:dyDescent="0.2">
      <c r="A21" s="259" t="s">
        <v>526</v>
      </c>
      <c r="B21" s="21" t="s">
        <v>771</v>
      </c>
    </row>
    <row r="22" spans="1:2" x14ac:dyDescent="0.2">
      <c r="A22" s="259" t="s">
        <v>527</v>
      </c>
      <c r="B22" s="21" t="s">
        <v>772</v>
      </c>
    </row>
    <row r="23" spans="1:2" x14ac:dyDescent="0.2">
      <c r="A23" s="259" t="s">
        <v>528</v>
      </c>
      <c r="B23" s="21" t="s">
        <v>773</v>
      </c>
    </row>
    <row r="24" spans="1:2" x14ac:dyDescent="0.2">
      <c r="A24" s="259" t="s">
        <v>529</v>
      </c>
      <c r="B24" s="21" t="s">
        <v>774</v>
      </c>
    </row>
    <row r="25" spans="1:2" x14ac:dyDescent="0.2">
      <c r="A25" s="259" t="s">
        <v>530</v>
      </c>
      <c r="B25" s="21" t="s">
        <v>775</v>
      </c>
    </row>
    <row r="27" spans="1:2" x14ac:dyDescent="0.2">
      <c r="A27" s="21" t="s">
        <v>531</v>
      </c>
      <c r="B27" s="21" t="s">
        <v>532</v>
      </c>
    </row>
    <row r="28" spans="1:2" x14ac:dyDescent="0.2">
      <c r="A28" s="21" t="s">
        <v>533</v>
      </c>
      <c r="B28" s="21" t="s">
        <v>536</v>
      </c>
    </row>
    <row r="29" spans="1:2" x14ac:dyDescent="0.2">
      <c r="A29" s="21" t="s">
        <v>534</v>
      </c>
      <c r="B29" s="21" t="s">
        <v>537</v>
      </c>
    </row>
    <row r="30" spans="1:2" x14ac:dyDescent="0.2">
      <c r="A30" s="21" t="s">
        <v>535</v>
      </c>
      <c r="B30" s="21" t="s">
        <v>538</v>
      </c>
    </row>
    <row r="31" spans="1:2" x14ac:dyDescent="0.2">
      <c r="A31" s="21" t="s">
        <v>539</v>
      </c>
      <c r="B31" s="21" t="s">
        <v>543</v>
      </c>
    </row>
    <row r="32" spans="1:2" x14ac:dyDescent="0.2">
      <c r="A32" s="21" t="s">
        <v>540</v>
      </c>
      <c r="B32" s="21" t="s">
        <v>544</v>
      </c>
    </row>
    <row r="33" spans="1:2" x14ac:dyDescent="0.2">
      <c r="A33" s="21" t="s">
        <v>541</v>
      </c>
      <c r="B33" s="21" t="s">
        <v>545</v>
      </c>
    </row>
    <row r="34" spans="1:2" x14ac:dyDescent="0.2">
      <c r="A34" s="21" t="s">
        <v>542</v>
      </c>
      <c r="B34" s="21" t="s">
        <v>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A284-8C3E-1241-8E7A-6A8AA6029877}">
  <dimension ref="A1:BA56"/>
  <sheetViews>
    <sheetView topLeftCell="G1" zoomScale="170" zoomScaleNormal="170" workbookViewId="0">
      <selection activeCell="L7" sqref="L7"/>
    </sheetView>
  </sheetViews>
  <sheetFormatPr baseColWidth="10" defaultColWidth="11.5" defaultRowHeight="15" x14ac:dyDescent="0.2"/>
  <cols>
    <col min="1" max="1" width="13.33203125" style="201" customWidth="1"/>
    <col min="2" max="2" width="16" style="21" customWidth="1"/>
    <col min="3" max="3" width="19.83203125" style="21" customWidth="1"/>
    <col min="4" max="4" width="18.33203125" style="21" customWidth="1"/>
    <col min="5" max="5" width="36.5" customWidth="1"/>
    <col min="6" max="6" width="29" style="200" customWidth="1"/>
    <col min="7" max="7" width="11.5" style="201"/>
    <col min="8" max="8" width="13.83203125" style="335" customWidth="1"/>
    <col min="9" max="9" width="14" style="335" customWidth="1"/>
    <col min="11" max="11" width="24.33203125" customWidth="1"/>
    <col min="12" max="12" width="27.5" style="200" customWidth="1"/>
    <col min="13" max="13" width="11.6640625" style="203" customWidth="1"/>
    <col min="14" max="14" width="10.5" style="21" customWidth="1"/>
    <col min="15" max="15" width="27.5" style="40" customWidth="1"/>
    <col min="16" max="16" width="27.5" style="200" customWidth="1"/>
    <col min="17" max="17" width="16.1640625" style="201" customWidth="1"/>
    <col min="18" max="18" width="19.83203125" customWidth="1"/>
    <col min="19" max="19" width="15.33203125" style="200" customWidth="1"/>
    <col min="20" max="20" width="1.6640625" customWidth="1"/>
    <col min="21" max="21" width="16.6640625" style="201" customWidth="1"/>
    <col min="22" max="22" width="21.5" style="200" customWidth="1"/>
    <col min="23" max="23" width="3.5" customWidth="1"/>
    <col min="24" max="24" width="23.6640625" customWidth="1"/>
    <col min="25" max="25" width="3" customWidth="1"/>
    <col min="28" max="28" width="10.5" customWidth="1"/>
    <col min="29" max="29" width="11.83203125" customWidth="1"/>
    <col min="30" max="30" width="11.1640625" customWidth="1"/>
    <col min="31" max="31" width="2.6640625" customWidth="1"/>
    <col min="32" max="32" width="20.83203125" style="201" customWidth="1"/>
    <col min="34" max="34" width="11.5" style="200"/>
    <col min="35" max="35" width="2.83203125" customWidth="1"/>
    <col min="36" max="36" width="11.5" style="201"/>
    <col min="37" max="37" width="13.83203125" customWidth="1"/>
    <col min="40" max="40" width="11.5" style="200" customWidth="1"/>
    <col min="41" max="41" width="3.33203125" customWidth="1"/>
    <col min="42" max="42" width="11.5" style="201"/>
    <col min="43" max="43" width="6.5" customWidth="1"/>
    <col min="44" max="44" width="8.33203125" style="200" customWidth="1"/>
    <col min="45" max="45" width="3.5" customWidth="1"/>
    <col min="46" max="46" width="19" style="201" customWidth="1"/>
    <col min="47" max="47" width="8" customWidth="1"/>
    <col min="48" max="51" width="9.1640625" customWidth="1"/>
    <col min="52" max="52" width="8.5" customWidth="1"/>
    <col min="53" max="53" width="14.33203125" style="200" customWidth="1"/>
  </cols>
  <sheetData>
    <row r="1" spans="1:53" ht="15.75" customHeight="1" thickBot="1" x14ac:dyDescent="0.25">
      <c r="A1" s="52" t="s">
        <v>31</v>
      </c>
      <c r="B1" s="79" t="s">
        <v>31</v>
      </c>
      <c r="C1" s="77" t="s">
        <v>32</v>
      </c>
      <c r="D1" s="78" t="s">
        <v>33</v>
      </c>
      <c r="E1" s="197" t="s">
        <v>34</v>
      </c>
      <c r="F1" s="198" t="s">
        <v>35</v>
      </c>
      <c r="G1" s="336" t="s">
        <v>31</v>
      </c>
      <c r="H1" s="354" t="s">
        <v>780</v>
      </c>
      <c r="I1" s="404"/>
      <c r="J1" s="135" t="s">
        <v>31</v>
      </c>
      <c r="K1" s="78" t="s">
        <v>36</v>
      </c>
      <c r="L1" s="198" t="s">
        <v>35</v>
      </c>
      <c r="M1" s="142" t="s">
        <v>37</v>
      </c>
      <c r="N1" s="140" t="s">
        <v>37</v>
      </c>
      <c r="O1" s="141" t="s">
        <v>38</v>
      </c>
      <c r="P1" s="202" t="s">
        <v>35</v>
      </c>
      <c r="Q1" s="386" t="s">
        <v>39</v>
      </c>
      <c r="R1" s="387"/>
      <c r="S1" s="388"/>
      <c r="U1" s="395" t="s">
        <v>40</v>
      </c>
      <c r="V1" s="396"/>
      <c r="W1" s="21"/>
      <c r="X1" s="402" t="s">
        <v>41</v>
      </c>
      <c r="Z1" s="402" t="s">
        <v>42</v>
      </c>
      <c r="AA1" s="402"/>
      <c r="AB1" s="402"/>
      <c r="AC1" s="402"/>
      <c r="AD1" s="402"/>
      <c r="AF1" s="395" t="s">
        <v>43</v>
      </c>
      <c r="AG1" s="401"/>
      <c r="AH1" s="396"/>
      <c r="AJ1" s="395" t="s">
        <v>44</v>
      </c>
      <c r="AK1" s="401"/>
      <c r="AL1" s="401"/>
      <c r="AM1" s="401"/>
      <c r="AN1" s="396"/>
      <c r="AP1" s="395" t="s">
        <v>45</v>
      </c>
      <c r="AQ1" s="401"/>
      <c r="AR1" s="396"/>
      <c r="AT1" s="363" t="s">
        <v>495</v>
      </c>
      <c r="AU1" s="364"/>
      <c r="AV1" s="364"/>
      <c r="AW1" s="364"/>
      <c r="AX1" s="364"/>
      <c r="AY1" s="364"/>
      <c r="AZ1" s="364"/>
      <c r="BA1" s="365"/>
    </row>
    <row r="2" spans="1:53" ht="15.75" customHeight="1" thickBot="1" x14ac:dyDescent="0.25">
      <c r="A2" s="53" t="s">
        <v>46</v>
      </c>
      <c r="B2" s="82" t="s">
        <v>46</v>
      </c>
      <c r="C2" s="41" t="s">
        <v>714</v>
      </c>
      <c r="D2" s="83" t="s">
        <v>47</v>
      </c>
      <c r="E2" s="366" t="s">
        <v>48</v>
      </c>
      <c r="F2" s="199" t="str">
        <f ca="1">OFFSET('System Parameters'!$B$1, MATCH(B2,'System Parameters'!$B:$B,0)-1,1,COUNTIF('System Parameters'!$B:$B,B2),1)</f>
        <v>OME:TS1</v>
      </c>
      <c r="G2" s="53" t="s">
        <v>46</v>
      </c>
      <c r="H2" s="135" t="s">
        <v>82</v>
      </c>
      <c r="I2" s="337" t="s">
        <v>777</v>
      </c>
      <c r="J2" s="33" t="s">
        <v>46</v>
      </c>
      <c r="K2" s="35" t="s">
        <v>786</v>
      </c>
      <c r="L2" s="199" t="s">
        <v>786</v>
      </c>
      <c r="M2" s="143" t="s">
        <v>12</v>
      </c>
      <c r="N2" s="129" t="s">
        <v>12</v>
      </c>
      <c r="O2" s="139" t="s">
        <v>49</v>
      </c>
      <c r="P2" s="199" t="str">
        <f ca="1">OFFSET('System Parameters'!$N$1, MATCH(M2,'System Parameters'!$N:$N,0)-1,1,COUNTIF('System Parameters'!$N:$N,M2),1)</f>
        <v>BASE_NODE</v>
      </c>
      <c r="Q2" s="389"/>
      <c r="R2" s="390"/>
      <c r="S2" s="391"/>
      <c r="U2" s="397"/>
      <c r="V2" s="398"/>
      <c r="W2" s="21"/>
      <c r="X2" s="402"/>
      <c r="Z2" s="402"/>
      <c r="AA2" s="402"/>
      <c r="AB2" s="402"/>
      <c r="AC2" s="402"/>
      <c r="AD2" s="402"/>
      <c r="AF2" s="397"/>
      <c r="AG2" s="402"/>
      <c r="AH2" s="398"/>
      <c r="AJ2" s="397"/>
      <c r="AK2" s="402"/>
      <c r="AL2" s="402"/>
      <c r="AM2" s="402"/>
      <c r="AN2" s="398"/>
      <c r="AP2" s="397"/>
      <c r="AQ2" s="402"/>
      <c r="AR2" s="398"/>
      <c r="AT2" s="13" t="s">
        <v>254</v>
      </c>
      <c r="AU2" s="12" t="s">
        <v>11</v>
      </c>
      <c r="AV2" s="12" t="s">
        <v>20</v>
      </c>
      <c r="AW2" s="12" t="s">
        <v>25</v>
      </c>
      <c r="AX2" s="12" t="s">
        <v>498</v>
      </c>
      <c r="AY2" s="12" t="s">
        <v>499</v>
      </c>
      <c r="AZ2" s="244" t="s">
        <v>500</v>
      </c>
      <c r="BA2" s="249" t="s">
        <v>497</v>
      </c>
    </row>
    <row r="3" spans="1:53" ht="16" thickBot="1" x14ac:dyDescent="0.25">
      <c r="A3" s="54" t="s">
        <v>50</v>
      </c>
      <c r="B3" s="84" t="s">
        <v>46</v>
      </c>
      <c r="C3" s="36" t="s">
        <v>715</v>
      </c>
      <c r="D3" s="85" t="s">
        <v>51</v>
      </c>
      <c r="E3" s="367"/>
      <c r="G3" s="54" t="s">
        <v>50</v>
      </c>
      <c r="H3" s="84" t="s">
        <v>782</v>
      </c>
      <c r="I3" s="47" t="s">
        <v>778</v>
      </c>
      <c r="J3" s="33" t="s">
        <v>46</v>
      </c>
      <c r="K3" s="35" t="s">
        <v>711</v>
      </c>
      <c r="L3" s="199" t="s">
        <v>712</v>
      </c>
      <c r="M3" s="50" t="s">
        <v>16</v>
      </c>
      <c r="N3" s="44" t="s">
        <v>12</v>
      </c>
      <c r="O3" s="133" t="s">
        <v>52</v>
      </c>
      <c r="Q3" s="389"/>
      <c r="R3" s="390"/>
      <c r="S3" s="391"/>
      <c r="U3" s="397"/>
      <c r="V3" s="398"/>
      <c r="W3" s="21"/>
      <c r="X3" s="402"/>
      <c r="Z3" s="402"/>
      <c r="AA3" s="402"/>
      <c r="AB3" s="402"/>
      <c r="AC3" s="402"/>
      <c r="AD3" s="402"/>
      <c r="AF3" s="397"/>
      <c r="AG3" s="402"/>
      <c r="AH3" s="398"/>
      <c r="AJ3" s="397"/>
      <c r="AK3" s="402"/>
      <c r="AL3" s="402"/>
      <c r="AM3" s="402"/>
      <c r="AN3" s="398"/>
      <c r="AP3" s="397"/>
      <c r="AQ3" s="402"/>
      <c r="AR3" s="398"/>
      <c r="AT3" s="30" t="s">
        <v>22</v>
      </c>
      <c r="AU3" s="29">
        <f>COUNTIF('Node 1'!$C$17:$C$160,$AT3)</f>
        <v>0</v>
      </c>
      <c r="AV3" s="29">
        <f>COUNTIF('Node 2'!$C$17:$C$160,$AT3)</f>
        <v>0</v>
      </c>
      <c r="AW3" s="29">
        <f>COUNTIF('Node 3'!$C$17:$C$160,$AT3)</f>
        <v>0</v>
      </c>
      <c r="AX3" s="29">
        <f>COUNTIF('Node 4'!$C$17:$C$160,$AT3)</f>
        <v>0</v>
      </c>
      <c r="AY3" s="29">
        <f>COUNTIF('Node 5'!$C$17:$C$160,$AT3)</f>
        <v>0</v>
      </c>
      <c r="AZ3" s="245">
        <f>COUNTIF('Node 6'!$C$17:$C$88,$AT3)</f>
        <v>0</v>
      </c>
      <c r="BA3" s="250">
        <f>SUM(AU3:AZ3)</f>
        <v>0</v>
      </c>
    </row>
    <row r="4" spans="1:53" ht="16" thickBot="1" x14ac:dyDescent="0.25">
      <c r="B4" s="84" t="s">
        <v>46</v>
      </c>
      <c r="C4" s="36" t="s">
        <v>716</v>
      </c>
      <c r="D4" s="85" t="s">
        <v>53</v>
      </c>
      <c r="E4" s="367"/>
      <c r="H4" s="86" t="s">
        <v>783</v>
      </c>
      <c r="I4" s="338" t="s">
        <v>779</v>
      </c>
      <c r="J4" s="84" t="s">
        <v>46</v>
      </c>
      <c r="K4" s="85" t="s">
        <v>785</v>
      </c>
      <c r="M4" s="51" t="s">
        <v>26</v>
      </c>
      <c r="N4" s="44" t="s">
        <v>12</v>
      </c>
      <c r="O4" s="133" t="s">
        <v>54</v>
      </c>
      <c r="Q4" s="389"/>
      <c r="R4" s="390"/>
      <c r="S4" s="391"/>
      <c r="U4" s="397"/>
      <c r="V4" s="398"/>
      <c r="W4" s="21"/>
      <c r="X4" s="402"/>
      <c r="Z4" s="402"/>
      <c r="AA4" s="402"/>
      <c r="AB4" s="402"/>
      <c r="AC4" s="402"/>
      <c r="AD4" s="402"/>
      <c r="AF4" s="397"/>
      <c r="AG4" s="402"/>
      <c r="AH4" s="398"/>
      <c r="AJ4" s="397"/>
      <c r="AK4" s="402"/>
      <c r="AL4" s="402"/>
      <c r="AM4" s="402"/>
      <c r="AN4" s="398"/>
      <c r="AP4" s="397"/>
      <c r="AQ4" s="402"/>
      <c r="AR4" s="398"/>
      <c r="AT4" s="31" t="s">
        <v>24</v>
      </c>
      <c r="AU4" s="10">
        <f>COUNTIF('Node 1'!$C$17:$C$160,$AT4)</f>
        <v>0</v>
      </c>
      <c r="AV4" s="10">
        <f>COUNTIF('Node 2'!$C$17:$C$160,$AT4)</f>
        <v>0</v>
      </c>
      <c r="AW4" s="10">
        <f>COUNTIF('Node 3'!$C$17:$C$160,$AT4)</f>
        <v>0</v>
      </c>
      <c r="AX4" s="10">
        <f>COUNTIF('Node 4'!$C$17:$C$160,$AT4)</f>
        <v>0</v>
      </c>
      <c r="AY4" s="10">
        <f>COUNTIF('Node 5'!$C$17:$C$160,$AT4)</f>
        <v>0</v>
      </c>
      <c r="AZ4" s="246">
        <f>COUNTIF('Node 6'!$C$17:$C$88,$AT4)</f>
        <v>0</v>
      </c>
      <c r="BA4" s="251">
        <f t="shared" ref="BA4:BA10" si="0">SUM(AU4:AZ4)</f>
        <v>0</v>
      </c>
    </row>
    <row r="5" spans="1:53" x14ac:dyDescent="0.2">
      <c r="B5" s="84" t="s">
        <v>46</v>
      </c>
      <c r="C5" s="36" t="s">
        <v>717</v>
      </c>
      <c r="D5" s="85" t="s">
        <v>55</v>
      </c>
      <c r="E5" s="367"/>
      <c r="J5" s="84" t="s">
        <v>46</v>
      </c>
      <c r="K5" s="85" t="s">
        <v>788</v>
      </c>
      <c r="N5" s="84" t="s">
        <v>12</v>
      </c>
      <c r="O5" s="133" t="s">
        <v>13</v>
      </c>
      <c r="Q5" s="389"/>
      <c r="R5" s="390"/>
      <c r="S5" s="391"/>
      <c r="U5" s="397"/>
      <c r="V5" s="398"/>
      <c r="W5" s="21"/>
      <c r="X5" s="402"/>
      <c r="Z5" s="402"/>
      <c r="AA5" s="402"/>
      <c r="AB5" s="402"/>
      <c r="AC5" s="402"/>
      <c r="AD5" s="402"/>
      <c r="AF5" s="397"/>
      <c r="AG5" s="402"/>
      <c r="AH5" s="398"/>
      <c r="AJ5" s="397"/>
      <c r="AK5" s="402"/>
      <c r="AL5" s="402"/>
      <c r="AM5" s="402"/>
      <c r="AN5" s="398"/>
      <c r="AP5" s="397"/>
      <c r="AQ5" s="402"/>
      <c r="AR5" s="398"/>
      <c r="AT5" s="31" t="s">
        <v>19</v>
      </c>
      <c r="AU5" s="10">
        <f>COUNTIF('Node 1'!$C$17:$C$160,$AT5)</f>
        <v>0</v>
      </c>
      <c r="AV5" s="10">
        <f>COUNTIF('Node 2'!$C$17:$C$160,$AT5)</f>
        <v>0</v>
      </c>
      <c r="AW5" s="10">
        <f>COUNTIF('Node 3'!$C$17:$C$160,$AT5)</f>
        <v>0</v>
      </c>
      <c r="AX5" s="10">
        <f>COUNTIF('Node 4'!$C$17:$C$160,$AT5)</f>
        <v>0</v>
      </c>
      <c r="AY5" s="10">
        <f>COUNTIF('Node 5'!$C$17:$C$160,$AT5)</f>
        <v>0</v>
      </c>
      <c r="AZ5" s="246">
        <f>COUNTIF('Node 6'!$C$17:$C$88,$AT5)</f>
        <v>0</v>
      </c>
      <c r="BA5" s="251">
        <f t="shared" si="0"/>
        <v>0</v>
      </c>
    </row>
    <row r="6" spans="1:53" ht="16" thickBot="1" x14ac:dyDescent="0.25">
      <c r="B6" s="84" t="s">
        <v>46</v>
      </c>
      <c r="C6" s="36" t="s">
        <v>742</v>
      </c>
      <c r="D6" s="85" t="s">
        <v>57</v>
      </c>
      <c r="E6" s="367"/>
      <c r="J6" s="84" t="s">
        <v>46</v>
      </c>
      <c r="K6" s="85" t="s">
        <v>789</v>
      </c>
      <c r="N6" s="84" t="s">
        <v>12</v>
      </c>
      <c r="O6" s="133" t="s">
        <v>58</v>
      </c>
      <c r="Q6" s="389"/>
      <c r="R6" s="390"/>
      <c r="S6" s="391"/>
      <c r="U6" s="399"/>
      <c r="V6" s="400"/>
      <c r="W6" s="21"/>
      <c r="X6" s="402"/>
      <c r="Z6" s="402"/>
      <c r="AA6" s="402"/>
      <c r="AB6" s="402"/>
      <c r="AC6" s="402"/>
      <c r="AD6" s="402"/>
      <c r="AF6" s="397"/>
      <c r="AG6" s="402"/>
      <c r="AH6" s="398"/>
      <c r="AJ6" s="397"/>
      <c r="AK6" s="402"/>
      <c r="AL6" s="402"/>
      <c r="AM6" s="402"/>
      <c r="AN6" s="398"/>
      <c r="AP6" s="397"/>
      <c r="AQ6" s="402"/>
      <c r="AR6" s="398"/>
      <c r="AT6" s="31" t="s">
        <v>8</v>
      </c>
      <c r="AU6" s="10">
        <f>COUNTIF('Node 1'!$C$17:$C$160,$AT6)</f>
        <v>0</v>
      </c>
      <c r="AV6" s="10">
        <f>COUNTIF('Node 2'!$C$17:$C$160,$AT6)</f>
        <v>0</v>
      </c>
      <c r="AW6" s="10">
        <f>COUNTIF('Node 3'!$C$17:$C$160,$AT6)</f>
        <v>0</v>
      </c>
      <c r="AX6" s="10">
        <f>COUNTIF('Node 4'!$C$17:$C$160,$AT6)</f>
        <v>0</v>
      </c>
      <c r="AY6" s="10">
        <f>COUNTIF('Node 5'!$C$17:$C$160,$AT6)</f>
        <v>0</v>
      </c>
      <c r="AZ6" s="246">
        <f>COUNTIF('Node 6'!$C$17:$C$88,$AT6)</f>
        <v>0</v>
      </c>
      <c r="BA6" s="251">
        <f t="shared" si="0"/>
        <v>0</v>
      </c>
    </row>
    <row r="7" spans="1:53" ht="16" thickBot="1" x14ac:dyDescent="0.25">
      <c r="B7" s="84" t="s">
        <v>46</v>
      </c>
      <c r="C7" s="36" t="s">
        <v>743</v>
      </c>
      <c r="D7" s="85" t="s">
        <v>59</v>
      </c>
      <c r="E7" s="367"/>
      <c r="J7" s="84" t="s">
        <v>46</v>
      </c>
      <c r="K7" s="85" t="s">
        <v>135</v>
      </c>
      <c r="N7" s="84" t="s">
        <v>12</v>
      </c>
      <c r="O7" s="133" t="s">
        <v>21</v>
      </c>
      <c r="Q7" s="389"/>
      <c r="R7" s="390"/>
      <c r="S7" s="391"/>
      <c r="U7" s="354" t="s">
        <v>60</v>
      </c>
      <c r="V7" s="355"/>
      <c r="W7" s="21"/>
      <c r="X7" s="403"/>
      <c r="Z7" s="403"/>
      <c r="AA7" s="403"/>
      <c r="AB7" s="403"/>
      <c r="AC7" s="403"/>
      <c r="AD7" s="403"/>
      <c r="AF7" s="399"/>
      <c r="AG7" s="403"/>
      <c r="AH7" s="400"/>
      <c r="AJ7" s="399"/>
      <c r="AK7" s="403"/>
      <c r="AL7" s="403"/>
      <c r="AM7" s="403"/>
      <c r="AN7" s="400"/>
      <c r="AP7" s="399"/>
      <c r="AQ7" s="403"/>
      <c r="AR7" s="400"/>
      <c r="AT7" s="31" t="s">
        <v>10</v>
      </c>
      <c r="AU7" s="10">
        <f>COUNTIF('Node 1'!$C$17:$C$160,$AT7)</f>
        <v>0</v>
      </c>
      <c r="AV7" s="10">
        <f>COUNTIF('Node 2'!$C$17:$C$160,$AT7)</f>
        <v>0</v>
      </c>
      <c r="AW7" s="10">
        <f>COUNTIF('Node 3'!$C$17:$C$160,$AT7)</f>
        <v>0</v>
      </c>
      <c r="AX7" s="10">
        <f>COUNTIF('Node 4'!$C$17:$C$160,$AT7)</f>
        <v>0</v>
      </c>
      <c r="AY7" s="10">
        <f>COUNTIF('Node 5'!$C$17:$C$160,$AT7)</f>
        <v>0</v>
      </c>
      <c r="AZ7" s="246">
        <f>COUNTIF('Node 6'!$C$17:$C$88,$AT7)</f>
        <v>0</v>
      </c>
      <c r="BA7" s="251">
        <f t="shared" si="0"/>
        <v>0</v>
      </c>
    </row>
    <row r="8" spans="1:53" ht="16" thickBot="1" x14ac:dyDescent="0.25">
      <c r="B8" s="84" t="s">
        <v>46</v>
      </c>
      <c r="C8" s="36" t="s">
        <v>744</v>
      </c>
      <c r="D8" s="85" t="s">
        <v>61</v>
      </c>
      <c r="E8" s="367"/>
      <c r="J8" s="84" t="s">
        <v>46</v>
      </c>
      <c r="K8" s="85" t="s">
        <v>787</v>
      </c>
      <c r="N8" s="84" t="s">
        <v>12</v>
      </c>
      <c r="O8" s="133" t="s">
        <v>62</v>
      </c>
      <c r="Q8" s="389"/>
      <c r="R8" s="390"/>
      <c r="S8" s="391"/>
      <c r="U8" s="135" t="s">
        <v>63</v>
      </c>
      <c r="V8" s="78" t="s">
        <v>64</v>
      </c>
      <c r="W8" s="21"/>
      <c r="X8" s="130" t="s">
        <v>65</v>
      </c>
      <c r="Z8" s="363" t="s">
        <v>66</v>
      </c>
      <c r="AA8" s="364"/>
      <c r="AB8" s="364"/>
      <c r="AC8" s="364"/>
      <c r="AD8" s="369"/>
      <c r="AF8" s="370" t="s">
        <v>67</v>
      </c>
      <c r="AG8" s="371"/>
      <c r="AH8" s="372"/>
      <c r="AJ8" s="373" t="s">
        <v>68</v>
      </c>
      <c r="AK8" s="374"/>
      <c r="AL8" s="374"/>
      <c r="AM8" s="375"/>
      <c r="AN8" s="376"/>
      <c r="AP8" s="377" t="s">
        <v>69</v>
      </c>
      <c r="AQ8" s="378"/>
      <c r="AR8" s="379"/>
      <c r="AT8" s="31" t="s">
        <v>15</v>
      </c>
      <c r="AU8" s="10">
        <f>COUNTIF('Node 1'!$C$17:$C$160,$AT8)</f>
        <v>0</v>
      </c>
      <c r="AV8" s="10">
        <f>COUNTIF('Node 2'!$C$17:$C$160,$AT8)</f>
        <v>0</v>
      </c>
      <c r="AW8" s="10">
        <f>COUNTIF('Node 3'!$C$17:$C$160,$AT8)</f>
        <v>0</v>
      </c>
      <c r="AX8" s="10">
        <f>COUNTIF('Node 4'!$C$17:$C$160,$AT8)</f>
        <v>0</v>
      </c>
      <c r="AY8" s="10">
        <f>COUNTIF('Node 5'!$C$17:$C$160,$AT8)</f>
        <v>0</v>
      </c>
      <c r="AZ8" s="246">
        <f>COUNTIF('Node 6'!$C$17:$C$88,$AT8)</f>
        <v>0</v>
      </c>
      <c r="BA8" s="251">
        <f t="shared" si="0"/>
        <v>0</v>
      </c>
    </row>
    <row r="9" spans="1:53" ht="16" thickBot="1" x14ac:dyDescent="0.25">
      <c r="B9" s="84" t="s">
        <v>46</v>
      </c>
      <c r="C9" s="36" t="s">
        <v>745</v>
      </c>
      <c r="D9" s="85" t="s">
        <v>70</v>
      </c>
      <c r="E9" s="367"/>
      <c r="J9" s="84" t="s">
        <v>50</v>
      </c>
      <c r="K9" s="85" t="s">
        <v>712</v>
      </c>
      <c r="L9" s="384" t="s">
        <v>71</v>
      </c>
      <c r="N9" s="84" t="s">
        <v>12</v>
      </c>
      <c r="O9" s="133" t="s">
        <v>72</v>
      </c>
      <c r="P9" s="385" t="s">
        <v>73</v>
      </c>
      <c r="Q9" s="389"/>
      <c r="R9" s="390"/>
      <c r="S9" s="391"/>
      <c r="U9" s="207" t="s">
        <v>704</v>
      </c>
      <c r="V9" s="190" t="s">
        <v>74</v>
      </c>
      <c r="W9" s="21"/>
      <c r="X9" s="63">
        <v>1</v>
      </c>
      <c r="Z9" s="13" t="s">
        <v>38</v>
      </c>
      <c r="AA9" s="12" t="s">
        <v>75</v>
      </c>
      <c r="AB9" s="12" t="s">
        <v>76</v>
      </c>
      <c r="AC9" s="12" t="s">
        <v>77</v>
      </c>
      <c r="AD9" s="93" t="s">
        <v>78</v>
      </c>
      <c r="AF9" s="13" t="s">
        <v>38</v>
      </c>
      <c r="AG9" s="12" t="s">
        <v>75</v>
      </c>
      <c r="AH9" s="93" t="s">
        <v>79</v>
      </c>
      <c r="AJ9" s="138" t="s">
        <v>80</v>
      </c>
      <c r="AK9" s="408">
        <v>115200</v>
      </c>
      <c r="AL9" s="409"/>
      <c r="AM9" s="409"/>
      <c r="AN9" s="410"/>
      <c r="AP9" s="125" t="s">
        <v>81</v>
      </c>
      <c r="AQ9" s="126" t="s">
        <v>82</v>
      </c>
      <c r="AR9" s="127" t="s">
        <v>83</v>
      </c>
      <c r="AT9" s="253" t="s">
        <v>135</v>
      </c>
      <c r="AU9" s="241">
        <f>COUNTIF('Node 1'!$C$17:$C$160,$AT9)</f>
        <v>130</v>
      </c>
      <c r="AV9" s="241">
        <f>COUNTIF('Node 2'!$C$17:$C$160,$AT9)</f>
        <v>116</v>
      </c>
      <c r="AW9" s="241">
        <f>COUNTIF('Node 3'!$C$17:$C$160,$AT9)</f>
        <v>121</v>
      </c>
      <c r="AX9" s="241">
        <f>COUNTIF('Node 4'!$C$17:$C$160,$AT9)</f>
        <v>122</v>
      </c>
      <c r="AY9" s="241">
        <f>COUNTIF('Node 5'!$C$17:$C$160,$AT9)</f>
        <v>112</v>
      </c>
      <c r="AZ9" s="247">
        <f>COUNTIF('Node 6'!$C$17:$C$88,$AT9)</f>
        <v>40</v>
      </c>
      <c r="BA9" s="252">
        <f t="shared" si="0"/>
        <v>641</v>
      </c>
    </row>
    <row r="10" spans="1:53" ht="16" thickBot="1" x14ac:dyDescent="0.25">
      <c r="B10" s="84" t="s">
        <v>46</v>
      </c>
      <c r="C10" s="36" t="s">
        <v>84</v>
      </c>
      <c r="D10" s="85" t="s">
        <v>85</v>
      </c>
      <c r="E10" s="367"/>
      <c r="F10" s="383" t="s">
        <v>86</v>
      </c>
      <c r="J10" s="84" t="s">
        <v>50</v>
      </c>
      <c r="K10" s="85" t="s">
        <v>784</v>
      </c>
      <c r="L10" s="384"/>
      <c r="N10" s="84" t="s">
        <v>12</v>
      </c>
      <c r="O10" s="133" t="s">
        <v>87</v>
      </c>
      <c r="P10" s="385"/>
      <c r="Q10" s="392"/>
      <c r="R10" s="393"/>
      <c r="S10" s="394"/>
      <c r="U10" s="208" t="s">
        <v>705</v>
      </c>
      <c r="V10" s="192">
        <v>572</v>
      </c>
      <c r="W10" s="21"/>
      <c r="X10" s="50">
        <f t="shared" ref="X10:X28" si="1">X9+1</f>
        <v>2</v>
      </c>
      <c r="Z10" s="33" t="s">
        <v>88</v>
      </c>
      <c r="AA10" s="34" t="s">
        <v>89</v>
      </c>
      <c r="AB10" s="34" t="s">
        <v>4</v>
      </c>
      <c r="AC10" s="34" t="s">
        <v>4</v>
      </c>
      <c r="AD10" s="35" t="s">
        <v>4</v>
      </c>
      <c r="AF10" s="33" t="s">
        <v>90</v>
      </c>
      <c r="AG10" s="34" t="str">
        <f>"ADDR 20"</f>
        <v>ADDR 20</v>
      </c>
      <c r="AH10" s="35" t="str">
        <f>"1, 1"</f>
        <v>1, 1</v>
      </c>
      <c r="AJ10" s="405" t="s">
        <v>91</v>
      </c>
      <c r="AK10" s="406"/>
      <c r="AL10" s="406"/>
      <c r="AM10" s="405" t="s">
        <v>101</v>
      </c>
      <c r="AN10" s="407"/>
      <c r="AP10" s="123">
        <v>9600</v>
      </c>
      <c r="AQ10" s="34">
        <v>0</v>
      </c>
      <c r="AR10" s="124" t="str">
        <f>DEC2BIN(AQ10,4)</f>
        <v>0000</v>
      </c>
      <c r="AT10" s="242" t="s">
        <v>496</v>
      </c>
      <c r="AU10" s="243">
        <f t="shared" ref="AU10:AZ10" si="2">SUM(AU3:AU9)</f>
        <v>130</v>
      </c>
      <c r="AV10" s="243">
        <f t="shared" si="2"/>
        <v>116</v>
      </c>
      <c r="AW10" s="243">
        <f t="shared" si="2"/>
        <v>121</v>
      </c>
      <c r="AX10" s="243">
        <f t="shared" si="2"/>
        <v>122</v>
      </c>
      <c r="AY10" s="243">
        <f t="shared" si="2"/>
        <v>112</v>
      </c>
      <c r="AZ10" s="248">
        <f t="shared" si="2"/>
        <v>40</v>
      </c>
      <c r="BA10" s="249">
        <f t="shared" si="0"/>
        <v>641</v>
      </c>
    </row>
    <row r="11" spans="1:53" x14ac:dyDescent="0.2">
      <c r="B11" s="84" t="s">
        <v>46</v>
      </c>
      <c r="C11" s="36" t="s">
        <v>92</v>
      </c>
      <c r="D11" s="85" t="s">
        <v>93</v>
      </c>
      <c r="E11" s="367"/>
      <c r="F11" s="383"/>
      <c r="J11" s="84" t="s">
        <v>50</v>
      </c>
      <c r="K11" s="85" t="s">
        <v>713</v>
      </c>
      <c r="L11" s="384"/>
      <c r="N11" s="84" t="s">
        <v>16</v>
      </c>
      <c r="O11" s="133" t="s">
        <v>90</v>
      </c>
      <c r="P11" s="385"/>
      <c r="Q11" s="380" t="s">
        <v>94</v>
      </c>
      <c r="R11" s="381"/>
      <c r="S11" s="382"/>
      <c r="U11" s="208" t="s">
        <v>706</v>
      </c>
      <c r="V11" s="192">
        <v>573</v>
      </c>
      <c r="W11" s="21"/>
      <c r="X11" s="50">
        <f t="shared" si="1"/>
        <v>3</v>
      </c>
      <c r="Z11" s="84" t="s">
        <v>95</v>
      </c>
      <c r="AA11" s="36" t="s">
        <v>96</v>
      </c>
      <c r="AB11" s="36" t="s">
        <v>3</v>
      </c>
      <c r="AC11" s="36" t="s">
        <v>4</v>
      </c>
      <c r="AD11" s="85" t="s">
        <v>4</v>
      </c>
      <c r="AF11" s="84" t="s">
        <v>97</v>
      </c>
      <c r="AG11" s="36" t="str">
        <f>"ADDR 21"</f>
        <v>ADDR 21</v>
      </c>
      <c r="AH11" s="85" t="str">
        <f t="shared" ref="AH11:AH17" si="3">"1, 1"</f>
        <v>1, 1</v>
      </c>
      <c r="AJ11" s="285" t="s">
        <v>98</v>
      </c>
      <c r="AK11" s="286" t="s">
        <v>99</v>
      </c>
      <c r="AL11" s="293" t="s">
        <v>100</v>
      </c>
      <c r="AM11" s="294" t="s">
        <v>56</v>
      </c>
      <c r="AN11" s="287" t="s">
        <v>698</v>
      </c>
      <c r="AP11" s="120">
        <v>19200</v>
      </c>
      <c r="AQ11" s="36">
        <v>1</v>
      </c>
      <c r="AR11" s="119" t="str">
        <f t="shared" ref="AR11:AR14" si="4">DEC2BIN(AQ11,4)</f>
        <v>0001</v>
      </c>
    </row>
    <row r="12" spans="1:53" ht="16" thickBot="1" x14ac:dyDescent="0.25">
      <c r="B12" s="84" t="s">
        <v>46</v>
      </c>
      <c r="C12" s="36" t="s">
        <v>102</v>
      </c>
      <c r="D12" s="85" t="s">
        <v>103</v>
      </c>
      <c r="E12" s="367"/>
      <c r="F12" s="383"/>
      <c r="J12" s="84" t="s">
        <v>50</v>
      </c>
      <c r="K12" s="85" t="s">
        <v>790</v>
      </c>
      <c r="L12" s="384"/>
      <c r="N12" s="84" t="s">
        <v>16</v>
      </c>
      <c r="O12" s="133" t="s">
        <v>97</v>
      </c>
      <c r="P12" s="385"/>
      <c r="Q12" s="205" t="s">
        <v>104</v>
      </c>
      <c r="R12" s="204" t="s">
        <v>105</v>
      </c>
      <c r="S12" s="196" t="s">
        <v>106</v>
      </c>
      <c r="U12" s="208" t="s">
        <v>703</v>
      </c>
      <c r="V12" s="192" t="s">
        <v>74</v>
      </c>
      <c r="W12" s="21"/>
      <c r="X12" s="50">
        <f t="shared" si="1"/>
        <v>4</v>
      </c>
      <c r="Z12" s="84" t="s">
        <v>107</v>
      </c>
      <c r="AA12" s="36" t="s">
        <v>108</v>
      </c>
      <c r="AB12" s="36" t="s">
        <v>4</v>
      </c>
      <c r="AC12" s="36" t="s">
        <v>3</v>
      </c>
      <c r="AD12" s="85" t="s">
        <v>4</v>
      </c>
      <c r="AF12" s="84" t="s">
        <v>109</v>
      </c>
      <c r="AG12" s="36" t="str">
        <f>"ADDR 22"</f>
        <v>ADDR 22</v>
      </c>
      <c r="AH12" s="85" t="str">
        <f t="shared" si="3"/>
        <v>1, 1</v>
      </c>
      <c r="AJ12" s="116" t="s">
        <v>110</v>
      </c>
      <c r="AK12" s="115" t="s">
        <v>111</v>
      </c>
      <c r="AL12" s="290">
        <v>3</v>
      </c>
      <c r="AM12" s="295" t="s">
        <v>116</v>
      </c>
      <c r="AN12" s="216">
        <v>8</v>
      </c>
      <c r="AP12" s="120">
        <v>28800</v>
      </c>
      <c r="AQ12" s="36">
        <v>2</v>
      </c>
      <c r="AR12" s="119" t="str">
        <f t="shared" si="4"/>
        <v>0010</v>
      </c>
    </row>
    <row r="13" spans="1:53" x14ac:dyDescent="0.2">
      <c r="B13" s="84" t="s">
        <v>50</v>
      </c>
      <c r="C13" s="36" t="s">
        <v>761</v>
      </c>
      <c r="D13" s="85" t="s">
        <v>112</v>
      </c>
      <c r="E13" s="367"/>
      <c r="F13" s="383"/>
      <c r="J13" s="84" t="s">
        <v>50</v>
      </c>
      <c r="K13" s="85" t="s">
        <v>791</v>
      </c>
      <c r="L13" s="384"/>
      <c r="N13" s="84" t="s">
        <v>16</v>
      </c>
      <c r="O13" s="133" t="s">
        <v>109</v>
      </c>
      <c r="P13" s="385"/>
      <c r="Q13" s="207" t="s">
        <v>11</v>
      </c>
      <c r="R13" s="211">
        <v>1</v>
      </c>
      <c r="S13" s="212" t="str">
        <f>"NODE1_TABLE"</f>
        <v>NODE1_TABLE</v>
      </c>
      <c r="U13" s="208" t="s">
        <v>707</v>
      </c>
      <c r="V13" s="192">
        <v>570</v>
      </c>
      <c r="W13" s="21"/>
      <c r="X13" s="50">
        <f t="shared" si="1"/>
        <v>5</v>
      </c>
      <c r="Z13" s="84" t="s">
        <v>113</v>
      </c>
      <c r="AA13" s="36" t="s">
        <v>114</v>
      </c>
      <c r="AB13" s="36" t="s">
        <v>3</v>
      </c>
      <c r="AC13" s="36" t="s">
        <v>3</v>
      </c>
      <c r="AD13" s="85" t="s">
        <v>4</v>
      </c>
      <c r="AF13" s="84" t="s">
        <v>115</v>
      </c>
      <c r="AG13" s="36" t="str">
        <f>"ADDR 23"</f>
        <v>ADDR 23</v>
      </c>
      <c r="AH13" s="85" t="str">
        <f t="shared" si="3"/>
        <v>1, 1</v>
      </c>
      <c r="AJ13" s="116" t="s">
        <v>116</v>
      </c>
      <c r="AK13" s="115" t="s">
        <v>117</v>
      </c>
      <c r="AL13" s="290">
        <v>6</v>
      </c>
      <c r="AM13" s="295" t="s">
        <v>110</v>
      </c>
      <c r="AN13" s="216">
        <v>7</v>
      </c>
      <c r="AP13" s="120">
        <v>57600</v>
      </c>
      <c r="AQ13" s="36">
        <v>4</v>
      </c>
      <c r="AR13" s="119" t="str">
        <f t="shared" si="4"/>
        <v>0100</v>
      </c>
    </row>
    <row r="14" spans="1:53" ht="16" thickBot="1" x14ac:dyDescent="0.25">
      <c r="B14" s="84" t="s">
        <v>50</v>
      </c>
      <c r="C14" s="36" t="s">
        <v>762</v>
      </c>
      <c r="D14" s="85" t="s">
        <v>118</v>
      </c>
      <c r="E14" s="367"/>
      <c r="F14" s="383"/>
      <c r="J14" s="86" t="s">
        <v>50</v>
      </c>
      <c r="K14" s="87" t="s">
        <v>135</v>
      </c>
      <c r="L14" s="384"/>
      <c r="N14" s="84" t="s">
        <v>16</v>
      </c>
      <c r="O14" s="133" t="s">
        <v>115</v>
      </c>
      <c r="P14" s="385"/>
      <c r="Q14" s="208" t="s">
        <v>20</v>
      </c>
      <c r="R14" s="213">
        <v>2</v>
      </c>
      <c r="S14" s="212" t="str">
        <f>"NODE2_TABLE"</f>
        <v>NODE2_TABLE</v>
      </c>
      <c r="U14" s="208" t="s">
        <v>708</v>
      </c>
      <c r="V14" s="192">
        <v>571</v>
      </c>
      <c r="W14" s="21"/>
      <c r="X14" s="50">
        <f t="shared" si="1"/>
        <v>6</v>
      </c>
      <c r="Z14" s="84" t="s">
        <v>119</v>
      </c>
      <c r="AA14" s="36" t="s">
        <v>120</v>
      </c>
      <c r="AB14" s="36" t="s">
        <v>4</v>
      </c>
      <c r="AC14" s="36" t="s">
        <v>4</v>
      </c>
      <c r="AD14" s="85" t="s">
        <v>3</v>
      </c>
      <c r="AF14" s="84" t="s">
        <v>121</v>
      </c>
      <c r="AG14" s="36" t="str">
        <f>"ADDR 24"</f>
        <v>ADDR 24</v>
      </c>
      <c r="AH14" s="85" t="str">
        <f t="shared" si="3"/>
        <v>1, 1</v>
      </c>
      <c r="AJ14" s="116"/>
      <c r="AK14" s="115"/>
      <c r="AL14" s="290"/>
      <c r="AM14" s="295"/>
      <c r="AN14" s="216">
        <v>6</v>
      </c>
      <c r="AP14" s="121">
        <v>115200</v>
      </c>
      <c r="AQ14" s="42">
        <v>8</v>
      </c>
      <c r="AR14" s="122" t="str">
        <f t="shared" si="4"/>
        <v>1000</v>
      </c>
    </row>
    <row r="15" spans="1:53" x14ac:dyDescent="0.2">
      <c r="B15" s="84" t="s">
        <v>50</v>
      </c>
      <c r="C15" s="36" t="s">
        <v>763</v>
      </c>
      <c r="D15" s="85" t="s">
        <v>124</v>
      </c>
      <c r="E15" s="367"/>
      <c r="F15" s="383"/>
      <c r="L15" s="384"/>
      <c r="N15" s="84" t="s">
        <v>16</v>
      </c>
      <c r="O15" s="133" t="s">
        <v>121</v>
      </c>
      <c r="P15" s="385"/>
      <c r="Q15" s="208" t="s">
        <v>25</v>
      </c>
      <c r="R15" s="213">
        <v>3</v>
      </c>
      <c r="S15" s="212" t="str">
        <f>"NODE3_TABLE"</f>
        <v>NODE3_TABLE</v>
      </c>
      <c r="U15" s="208" t="s">
        <v>710</v>
      </c>
      <c r="V15" s="192" t="s">
        <v>74</v>
      </c>
      <c r="W15" s="21"/>
      <c r="X15" s="50">
        <f t="shared" si="1"/>
        <v>7</v>
      </c>
      <c r="Z15" s="84" t="s">
        <v>125</v>
      </c>
      <c r="AA15" s="36" t="s">
        <v>126</v>
      </c>
      <c r="AB15" s="36" t="s">
        <v>3</v>
      </c>
      <c r="AC15" s="36" t="s">
        <v>4</v>
      </c>
      <c r="AD15" s="85" t="s">
        <v>3</v>
      </c>
      <c r="AF15" s="84" t="s">
        <v>127</v>
      </c>
      <c r="AG15" s="36" t="str">
        <f>"ADDR 25"</f>
        <v>ADDR 25</v>
      </c>
      <c r="AH15" s="85" t="str">
        <f t="shared" si="3"/>
        <v>1, 1</v>
      </c>
      <c r="AJ15" s="116"/>
      <c r="AK15" s="115"/>
      <c r="AL15" s="290"/>
      <c r="AM15" s="295" t="s">
        <v>700</v>
      </c>
      <c r="AN15" s="216">
        <v>5</v>
      </c>
    </row>
    <row r="16" spans="1:53" x14ac:dyDescent="0.2">
      <c r="B16" s="84" t="s">
        <v>50</v>
      </c>
      <c r="C16" s="36" t="s">
        <v>764</v>
      </c>
      <c r="D16" s="85" t="s">
        <v>130</v>
      </c>
      <c r="E16" s="367"/>
      <c r="F16" s="383"/>
      <c r="L16" s="384"/>
      <c r="N16" s="84" t="s">
        <v>16</v>
      </c>
      <c r="O16" s="133" t="s">
        <v>127</v>
      </c>
      <c r="P16" s="385"/>
      <c r="Q16" s="208" t="s">
        <v>498</v>
      </c>
      <c r="R16" s="213">
        <v>4</v>
      </c>
      <c r="S16" s="212" t="str">
        <f>"NODE4_TABLE"</f>
        <v>NODE4_TABLE</v>
      </c>
      <c r="U16" s="209" t="s">
        <v>709</v>
      </c>
      <c r="V16" s="196" t="s">
        <v>74</v>
      </c>
      <c r="W16" s="21"/>
      <c r="X16" s="50">
        <f t="shared" si="1"/>
        <v>8</v>
      </c>
      <c r="Z16" s="84" t="s">
        <v>131</v>
      </c>
      <c r="AA16" s="36" t="s">
        <v>132</v>
      </c>
      <c r="AB16" s="36" t="s">
        <v>4</v>
      </c>
      <c r="AC16" s="36" t="s">
        <v>3</v>
      </c>
      <c r="AD16" s="85" t="s">
        <v>3</v>
      </c>
      <c r="AF16" s="84" t="s">
        <v>133</v>
      </c>
      <c r="AG16" s="36" t="str">
        <f>"ADDR 26"</f>
        <v>ADDR 26</v>
      </c>
      <c r="AH16" s="85" t="str">
        <f t="shared" si="3"/>
        <v>1, 1</v>
      </c>
      <c r="AJ16" s="288"/>
      <c r="AK16" s="289"/>
      <c r="AL16" s="291"/>
      <c r="AM16" s="295" t="s">
        <v>699</v>
      </c>
      <c r="AN16" s="216">
        <v>4</v>
      </c>
    </row>
    <row r="17" spans="2:40" ht="16" thickBot="1" x14ac:dyDescent="0.25">
      <c r="B17" s="84" t="s">
        <v>50</v>
      </c>
      <c r="C17" s="36" t="s">
        <v>765</v>
      </c>
      <c r="D17" s="85" t="s">
        <v>134</v>
      </c>
      <c r="E17" s="367"/>
      <c r="F17" s="383"/>
      <c r="L17" s="384"/>
      <c r="N17" s="84" t="s">
        <v>16</v>
      </c>
      <c r="O17" s="133" t="s">
        <v>133</v>
      </c>
      <c r="P17" s="385"/>
      <c r="Q17" s="208" t="s">
        <v>499</v>
      </c>
      <c r="R17" s="213">
        <v>5</v>
      </c>
      <c r="S17" s="212" t="str">
        <f>"NODE5_TABLE"</f>
        <v>NODE5_TABLE</v>
      </c>
      <c r="U17" s="205" t="s">
        <v>135</v>
      </c>
      <c r="V17" s="210" t="s">
        <v>74</v>
      </c>
      <c r="W17" s="21"/>
      <c r="X17" s="50">
        <f t="shared" si="1"/>
        <v>9</v>
      </c>
      <c r="Z17" s="84" t="s">
        <v>136</v>
      </c>
      <c r="AA17" s="36" t="s">
        <v>137</v>
      </c>
      <c r="AB17" s="36" t="s">
        <v>3</v>
      </c>
      <c r="AC17" s="94" t="s">
        <v>3</v>
      </c>
      <c r="AD17" s="85" t="s">
        <v>3</v>
      </c>
      <c r="AF17" s="84" t="s">
        <v>138</v>
      </c>
      <c r="AG17" s="36" t="str">
        <f>"ADDR 27"</f>
        <v>ADDR 27</v>
      </c>
      <c r="AH17" s="85" t="str">
        <f t="shared" si="3"/>
        <v>1, 1</v>
      </c>
      <c r="AJ17" s="288"/>
      <c r="AK17" s="289"/>
      <c r="AL17" s="291"/>
      <c r="AM17" s="295"/>
      <c r="AN17" s="216">
        <v>3</v>
      </c>
    </row>
    <row r="18" spans="2:40" ht="16" thickBot="1" x14ac:dyDescent="0.25">
      <c r="B18" s="84" t="s">
        <v>50</v>
      </c>
      <c r="C18" s="36" t="s">
        <v>766</v>
      </c>
      <c r="D18" s="85" t="s">
        <v>139</v>
      </c>
      <c r="E18" s="367"/>
      <c r="F18" s="383"/>
      <c r="L18" s="384"/>
      <c r="N18" s="84" t="s">
        <v>16</v>
      </c>
      <c r="O18" s="133" t="s">
        <v>138</v>
      </c>
      <c r="P18" s="385"/>
      <c r="Q18" s="205" t="s">
        <v>500</v>
      </c>
      <c r="R18" s="204">
        <v>6</v>
      </c>
      <c r="S18" s="214" t="str">
        <f>"NODE6_TABLE"</f>
        <v>NODE6_TABLE</v>
      </c>
      <c r="T18" s="21"/>
      <c r="V18" s="206"/>
      <c r="W18" s="21"/>
      <c r="X18" s="50">
        <f t="shared" si="1"/>
        <v>10</v>
      </c>
      <c r="Z18" s="84" t="s">
        <v>140</v>
      </c>
      <c r="AA18" s="36" t="s">
        <v>141</v>
      </c>
      <c r="AB18" s="36" t="s">
        <v>142</v>
      </c>
      <c r="AC18" s="36" t="s">
        <v>4</v>
      </c>
      <c r="AD18" s="85" t="s">
        <v>4</v>
      </c>
      <c r="AF18" s="84" t="s">
        <v>143</v>
      </c>
      <c r="AG18" s="36" t="str">
        <f>"ADDR 20"</f>
        <v>ADDR 20</v>
      </c>
      <c r="AH18" s="85" t="str">
        <f>"0, 0"</f>
        <v>0, 0</v>
      </c>
      <c r="AJ18" s="116" t="s">
        <v>122</v>
      </c>
      <c r="AK18" s="115" t="s">
        <v>123</v>
      </c>
      <c r="AL18" s="290">
        <v>5</v>
      </c>
      <c r="AM18" s="295" t="s">
        <v>122</v>
      </c>
      <c r="AN18" s="216">
        <v>2</v>
      </c>
    </row>
    <row r="19" spans="2:40" ht="16" thickBot="1" x14ac:dyDescent="0.25">
      <c r="B19" s="84" t="s">
        <v>50</v>
      </c>
      <c r="C19" s="36" t="s">
        <v>767</v>
      </c>
      <c r="D19" s="85" t="s">
        <v>130</v>
      </c>
      <c r="E19" s="367"/>
      <c r="F19" s="383"/>
      <c r="L19" s="384"/>
      <c r="N19" s="84" t="s">
        <v>16</v>
      </c>
      <c r="O19" s="133" t="s">
        <v>143</v>
      </c>
      <c r="P19" s="385"/>
      <c r="S19" s="206"/>
      <c r="U19" s="203"/>
      <c r="V19" s="206"/>
      <c r="W19" s="21"/>
      <c r="X19" s="50">
        <f t="shared" si="1"/>
        <v>11</v>
      </c>
      <c r="Z19" s="84" t="s">
        <v>144</v>
      </c>
      <c r="AA19" s="36" t="s">
        <v>145</v>
      </c>
      <c r="AB19" s="36" t="s">
        <v>142</v>
      </c>
      <c r="AC19" s="36" t="s">
        <v>3</v>
      </c>
      <c r="AD19" s="85" t="s">
        <v>4</v>
      </c>
      <c r="AF19" s="84" t="s">
        <v>146</v>
      </c>
      <c r="AG19" s="36" t="str">
        <f>"ADDR 21"</f>
        <v>ADDR 21</v>
      </c>
      <c r="AH19" s="85" t="str">
        <f t="shared" ref="AH19:AH25" si="5">"0, 0"</f>
        <v>0, 0</v>
      </c>
      <c r="AJ19" s="117" t="s">
        <v>128</v>
      </c>
      <c r="AK19" s="118" t="s">
        <v>129</v>
      </c>
      <c r="AL19" s="292">
        <v>4</v>
      </c>
      <c r="AM19" s="296" t="s">
        <v>128</v>
      </c>
      <c r="AN19" s="217">
        <v>1</v>
      </c>
    </row>
    <row r="20" spans="2:40" x14ac:dyDescent="0.2">
      <c r="B20" s="84" t="s">
        <v>50</v>
      </c>
      <c r="C20" s="36" t="s">
        <v>768</v>
      </c>
      <c r="D20" s="85" t="s">
        <v>134</v>
      </c>
      <c r="E20" s="367"/>
      <c r="F20" s="383"/>
      <c r="L20" s="384"/>
      <c r="N20" s="84" t="s">
        <v>16</v>
      </c>
      <c r="O20" s="133" t="s">
        <v>146</v>
      </c>
      <c r="P20" s="385"/>
      <c r="S20" s="206"/>
      <c r="U20" s="203"/>
      <c r="V20" s="206"/>
      <c r="W20" s="21"/>
      <c r="X20" s="50">
        <f t="shared" si="1"/>
        <v>12</v>
      </c>
      <c r="Z20" s="84" t="s">
        <v>147</v>
      </c>
      <c r="AA20" s="36" t="s">
        <v>148</v>
      </c>
      <c r="AB20" s="36" t="s">
        <v>142</v>
      </c>
      <c r="AC20" s="36" t="s">
        <v>4</v>
      </c>
      <c r="AD20" s="85" t="s">
        <v>3</v>
      </c>
      <c r="AF20" s="84" t="s">
        <v>149</v>
      </c>
      <c r="AG20" s="36" t="str">
        <f>"ADDR 22"</f>
        <v>ADDR 22</v>
      </c>
      <c r="AH20" s="85" t="str">
        <f t="shared" si="5"/>
        <v>0, 0</v>
      </c>
    </row>
    <row r="21" spans="2:40" ht="16" thickBot="1" x14ac:dyDescent="0.25">
      <c r="B21" s="84" t="s">
        <v>50</v>
      </c>
      <c r="C21" s="36" t="s">
        <v>769</v>
      </c>
      <c r="D21" s="85" t="s">
        <v>139</v>
      </c>
      <c r="E21" s="367"/>
      <c r="F21" s="383"/>
      <c r="L21" s="384"/>
      <c r="N21" s="84" t="s">
        <v>16</v>
      </c>
      <c r="O21" s="133" t="s">
        <v>149</v>
      </c>
      <c r="P21" s="385"/>
      <c r="Q21" s="203"/>
      <c r="R21" s="21"/>
      <c r="S21" s="206"/>
      <c r="U21" s="215"/>
      <c r="V21" s="206"/>
      <c r="W21" s="21"/>
      <c r="X21" s="50">
        <f t="shared" si="1"/>
        <v>13</v>
      </c>
      <c r="Z21" s="86" t="s">
        <v>150</v>
      </c>
      <c r="AA21" s="42" t="s">
        <v>151</v>
      </c>
      <c r="AB21" s="42" t="s">
        <v>142</v>
      </c>
      <c r="AC21" s="42" t="s">
        <v>3</v>
      </c>
      <c r="AD21" s="87" t="s">
        <v>3</v>
      </c>
      <c r="AF21" s="84" t="s">
        <v>152</v>
      </c>
      <c r="AG21" s="36" t="str">
        <f>"ADDR 23"</f>
        <v>ADDR 23</v>
      </c>
      <c r="AH21" s="85" t="str">
        <f t="shared" si="5"/>
        <v>0, 0</v>
      </c>
    </row>
    <row r="22" spans="2:40" x14ac:dyDescent="0.2">
      <c r="B22" s="84" t="s">
        <v>50</v>
      </c>
      <c r="C22" s="36" t="s">
        <v>746</v>
      </c>
      <c r="D22" s="85" t="s">
        <v>153</v>
      </c>
      <c r="E22" s="367"/>
      <c r="F22" s="383"/>
      <c r="L22" s="384"/>
      <c r="N22" s="84" t="s">
        <v>16</v>
      </c>
      <c r="O22" s="133" t="s">
        <v>152</v>
      </c>
      <c r="P22" s="385"/>
      <c r="Q22" s="203"/>
      <c r="R22" s="21"/>
      <c r="S22" s="206"/>
      <c r="U22" s="203"/>
      <c r="V22" s="206"/>
      <c r="W22" s="21"/>
      <c r="X22" s="50">
        <f t="shared" si="1"/>
        <v>14</v>
      </c>
      <c r="AF22" s="84" t="s">
        <v>154</v>
      </c>
      <c r="AG22" s="36" t="str">
        <f>"ADDR 24"</f>
        <v>ADDR 24</v>
      </c>
      <c r="AH22" s="85" t="str">
        <f t="shared" si="5"/>
        <v>0, 0</v>
      </c>
    </row>
    <row r="23" spans="2:40" x14ac:dyDescent="0.2">
      <c r="B23" s="84" t="s">
        <v>50</v>
      </c>
      <c r="C23" s="36" t="s">
        <v>747</v>
      </c>
      <c r="D23" s="85" t="s">
        <v>155</v>
      </c>
      <c r="E23" s="367"/>
      <c r="F23" s="383"/>
      <c r="L23" s="384"/>
      <c r="N23" s="84" t="s">
        <v>16</v>
      </c>
      <c r="O23" s="133" t="s">
        <v>154</v>
      </c>
      <c r="P23" s="385"/>
      <c r="Q23" s="203"/>
      <c r="R23" s="21"/>
      <c r="S23" s="206"/>
      <c r="U23" s="203"/>
      <c r="V23" s="206"/>
      <c r="W23" s="21"/>
      <c r="X23" s="50">
        <f t="shared" si="1"/>
        <v>15</v>
      </c>
      <c r="AF23" s="84" t="s">
        <v>156</v>
      </c>
      <c r="AG23" s="36" t="str">
        <f>"ADDR 25"</f>
        <v>ADDR 25</v>
      </c>
      <c r="AH23" s="85" t="str">
        <f t="shared" si="5"/>
        <v>0, 0</v>
      </c>
    </row>
    <row r="24" spans="2:40" x14ac:dyDescent="0.2">
      <c r="B24" s="84" t="s">
        <v>50</v>
      </c>
      <c r="C24" s="36" t="s">
        <v>748</v>
      </c>
      <c r="D24" s="85" t="s">
        <v>157</v>
      </c>
      <c r="E24" s="367"/>
      <c r="F24" s="383"/>
      <c r="L24" s="384"/>
      <c r="N24" s="84" t="s">
        <v>16</v>
      </c>
      <c r="O24" s="133" t="s">
        <v>156</v>
      </c>
      <c r="P24" s="385"/>
      <c r="Q24" s="203"/>
      <c r="R24" s="21"/>
      <c r="S24" s="206"/>
      <c r="U24" s="203"/>
      <c r="V24" s="206"/>
      <c r="W24" s="21"/>
      <c r="X24" s="50">
        <f t="shared" si="1"/>
        <v>16</v>
      </c>
      <c r="AF24" s="84" t="s">
        <v>158</v>
      </c>
      <c r="AG24" s="36" t="str">
        <f>"ADDR 26"</f>
        <v>ADDR 26</v>
      </c>
      <c r="AH24" s="85" t="str">
        <f t="shared" si="5"/>
        <v>0, 0</v>
      </c>
    </row>
    <row r="25" spans="2:40" x14ac:dyDescent="0.2">
      <c r="B25" s="84" t="s">
        <v>50</v>
      </c>
      <c r="C25" s="36" t="s">
        <v>749</v>
      </c>
      <c r="D25" s="85" t="s">
        <v>159</v>
      </c>
      <c r="E25" s="367"/>
      <c r="F25" s="383"/>
      <c r="L25" s="384"/>
      <c r="N25" s="84" t="s">
        <v>16</v>
      </c>
      <c r="O25" s="133" t="s">
        <v>158</v>
      </c>
      <c r="P25" s="385"/>
      <c r="Q25" s="203"/>
      <c r="R25" s="21"/>
      <c r="S25" s="206"/>
      <c r="U25" s="203"/>
      <c r="V25" s="206"/>
      <c r="W25" s="21"/>
      <c r="X25" s="50">
        <f t="shared" si="1"/>
        <v>17</v>
      </c>
      <c r="AF25" s="84" t="s">
        <v>160</v>
      </c>
      <c r="AG25" s="36" t="str">
        <f>"ADDR 27"</f>
        <v>ADDR 27</v>
      </c>
      <c r="AH25" s="85" t="str">
        <f t="shared" si="5"/>
        <v>0, 0</v>
      </c>
    </row>
    <row r="26" spans="2:40" x14ac:dyDescent="0.2">
      <c r="B26" s="84" t="s">
        <v>50</v>
      </c>
      <c r="C26" s="36" t="s">
        <v>750</v>
      </c>
      <c r="D26" s="85" t="s">
        <v>161</v>
      </c>
      <c r="E26" s="367"/>
      <c r="F26" s="383"/>
      <c r="L26" s="384"/>
      <c r="N26" s="84" t="s">
        <v>16</v>
      </c>
      <c r="O26" s="133" t="s">
        <v>160</v>
      </c>
      <c r="P26" s="385"/>
      <c r="Q26" s="203"/>
      <c r="R26" s="21"/>
      <c r="S26" s="206"/>
      <c r="U26" s="203"/>
      <c r="V26" s="206"/>
      <c r="W26" s="21"/>
      <c r="X26" s="50">
        <f t="shared" si="1"/>
        <v>18</v>
      </c>
      <c r="AF26" s="84" t="s">
        <v>162</v>
      </c>
      <c r="AG26" s="36" t="str">
        <f>"ADDR 20"</f>
        <v>ADDR 20</v>
      </c>
      <c r="AH26" s="85" t="str">
        <f>"1, 0"</f>
        <v>1, 0</v>
      </c>
    </row>
    <row r="27" spans="2:40" x14ac:dyDescent="0.2">
      <c r="B27" s="84" t="s">
        <v>50</v>
      </c>
      <c r="C27" s="36" t="s">
        <v>751</v>
      </c>
      <c r="D27" s="85" t="s">
        <v>163</v>
      </c>
      <c r="E27" s="367"/>
      <c r="F27" s="383"/>
      <c r="L27" s="384"/>
      <c r="N27" s="84" t="s">
        <v>16</v>
      </c>
      <c r="O27" s="133" t="s">
        <v>162</v>
      </c>
      <c r="P27" s="385"/>
      <c r="Q27" s="203"/>
      <c r="R27" s="21"/>
      <c r="S27" s="206"/>
      <c r="U27" s="203"/>
      <c r="V27" s="206"/>
      <c r="W27" s="21"/>
      <c r="X27" s="50">
        <f t="shared" si="1"/>
        <v>19</v>
      </c>
      <c r="AF27" s="84" t="s">
        <v>164</v>
      </c>
      <c r="AG27" s="36" t="str">
        <f>"ADDR 21"</f>
        <v>ADDR 21</v>
      </c>
      <c r="AH27" s="85" t="str">
        <f t="shared" ref="AH27:AH33" si="6">"1, 0"</f>
        <v>1, 0</v>
      </c>
    </row>
    <row r="28" spans="2:40" x14ac:dyDescent="0.2">
      <c r="B28" s="84" t="s">
        <v>50</v>
      </c>
      <c r="C28" s="36" t="s">
        <v>752</v>
      </c>
      <c r="D28" s="85" t="s">
        <v>159</v>
      </c>
      <c r="E28" s="367"/>
      <c r="F28" s="383"/>
      <c r="L28" s="384"/>
      <c r="N28" s="84" t="s">
        <v>16</v>
      </c>
      <c r="O28" s="133" t="s">
        <v>164</v>
      </c>
      <c r="P28" s="385"/>
      <c r="R28" s="21"/>
      <c r="S28" s="206"/>
      <c r="U28" s="203"/>
      <c r="V28" s="206"/>
      <c r="W28" s="21"/>
      <c r="X28" s="50">
        <f t="shared" si="1"/>
        <v>20</v>
      </c>
      <c r="AF28" s="84" t="s">
        <v>165</v>
      </c>
      <c r="AG28" s="36" t="str">
        <f>"ADDR 22"</f>
        <v>ADDR 22</v>
      </c>
      <c r="AH28" s="85" t="str">
        <f t="shared" si="6"/>
        <v>1, 0</v>
      </c>
    </row>
    <row r="29" spans="2:40" ht="16" thickBot="1" x14ac:dyDescent="0.25">
      <c r="B29" s="84" t="s">
        <v>50</v>
      </c>
      <c r="C29" s="36" t="s">
        <v>753</v>
      </c>
      <c r="D29" s="85" t="s">
        <v>161</v>
      </c>
      <c r="E29" s="367"/>
      <c r="F29" s="383"/>
      <c r="L29" s="384"/>
      <c r="N29" s="84" t="s">
        <v>16</v>
      </c>
      <c r="O29" s="133" t="s">
        <v>165</v>
      </c>
      <c r="P29" s="385"/>
      <c r="R29" s="21"/>
      <c r="S29" s="206"/>
      <c r="U29" s="203"/>
      <c r="V29" s="206"/>
      <c r="W29" s="21"/>
      <c r="X29" s="51" t="s">
        <v>74</v>
      </c>
      <c r="AF29" s="84" t="s">
        <v>166</v>
      </c>
      <c r="AG29" s="36" t="str">
        <f>"ADDR 23"</f>
        <v>ADDR 23</v>
      </c>
      <c r="AH29" s="85" t="str">
        <f t="shared" si="6"/>
        <v>1, 0</v>
      </c>
    </row>
    <row r="30" spans="2:40" x14ac:dyDescent="0.2">
      <c r="B30" s="84" t="s">
        <v>50</v>
      </c>
      <c r="C30" s="36" t="s">
        <v>754</v>
      </c>
      <c r="D30" s="85" t="s">
        <v>163</v>
      </c>
      <c r="E30" s="367"/>
      <c r="F30" s="383"/>
      <c r="L30" s="384"/>
      <c r="N30" s="84" t="s">
        <v>16</v>
      </c>
      <c r="O30" s="133" t="s">
        <v>166</v>
      </c>
      <c r="P30" s="385"/>
      <c r="R30" s="21"/>
      <c r="S30" s="206"/>
      <c r="U30" s="203"/>
      <c r="V30" s="206"/>
      <c r="W30" s="21"/>
      <c r="AF30" s="84" t="s">
        <v>167</v>
      </c>
      <c r="AG30" s="36" t="str">
        <f>"ADDR 24"</f>
        <v>ADDR 24</v>
      </c>
      <c r="AH30" s="85" t="str">
        <f t="shared" si="6"/>
        <v>1, 0</v>
      </c>
    </row>
    <row r="31" spans="2:40" x14ac:dyDescent="0.2">
      <c r="B31" s="84" t="s">
        <v>50</v>
      </c>
      <c r="C31" s="36" t="s">
        <v>718</v>
      </c>
      <c r="D31" s="85" t="s">
        <v>168</v>
      </c>
      <c r="E31" s="367"/>
      <c r="F31" s="383"/>
      <c r="L31" s="384"/>
      <c r="N31" s="84" t="s">
        <v>16</v>
      </c>
      <c r="O31" s="133" t="s">
        <v>167</v>
      </c>
      <c r="P31" s="385"/>
      <c r="R31" s="21"/>
      <c r="S31" s="206"/>
      <c r="U31" s="203"/>
      <c r="V31" s="206"/>
      <c r="W31" s="21"/>
      <c r="AF31" s="84" t="s">
        <v>169</v>
      </c>
      <c r="AG31" s="36" t="str">
        <f>"ADDR 25"</f>
        <v>ADDR 25</v>
      </c>
      <c r="AH31" s="85" t="str">
        <f t="shared" si="6"/>
        <v>1, 0</v>
      </c>
    </row>
    <row r="32" spans="2:40" x14ac:dyDescent="0.2">
      <c r="B32" s="84" t="s">
        <v>50</v>
      </c>
      <c r="C32" s="36" t="s">
        <v>719</v>
      </c>
      <c r="D32" s="85" t="s">
        <v>170</v>
      </c>
      <c r="E32" s="367"/>
      <c r="F32" s="383"/>
      <c r="L32" s="384"/>
      <c r="N32" s="84" t="s">
        <v>16</v>
      </c>
      <c r="O32" s="133" t="s">
        <v>169</v>
      </c>
      <c r="P32" s="385"/>
      <c r="R32" s="21"/>
      <c r="S32" s="206"/>
      <c r="U32" s="203"/>
      <c r="V32" s="206"/>
      <c r="W32" s="21"/>
      <c r="AF32" s="84" t="s">
        <v>171</v>
      </c>
      <c r="AG32" s="36" t="str">
        <f>"ADDR 26"</f>
        <v>ADDR 26</v>
      </c>
      <c r="AH32" s="85" t="str">
        <f t="shared" si="6"/>
        <v>1, 0</v>
      </c>
    </row>
    <row r="33" spans="2:34" x14ac:dyDescent="0.2">
      <c r="B33" s="84" t="s">
        <v>50</v>
      </c>
      <c r="C33" s="36" t="s">
        <v>720</v>
      </c>
      <c r="D33" s="85" t="s">
        <v>172</v>
      </c>
      <c r="E33" s="367"/>
      <c r="F33" s="383"/>
      <c r="L33" s="384"/>
      <c r="N33" s="84" t="s">
        <v>16</v>
      </c>
      <c r="O33" s="133" t="s">
        <v>171</v>
      </c>
      <c r="P33" s="385"/>
      <c r="R33" s="21"/>
      <c r="S33" s="206"/>
      <c r="U33" s="203"/>
      <c r="V33" s="206"/>
      <c r="W33" s="21"/>
      <c r="AF33" s="84" t="s">
        <v>173</v>
      </c>
      <c r="AG33" s="36" t="str">
        <f>"ADDR 27"</f>
        <v>ADDR 27</v>
      </c>
      <c r="AH33" s="85" t="str">
        <f t="shared" si="6"/>
        <v>1, 0</v>
      </c>
    </row>
    <row r="34" spans="2:34" x14ac:dyDescent="0.2">
      <c r="B34" s="84" t="s">
        <v>50</v>
      </c>
      <c r="C34" s="36" t="s">
        <v>721</v>
      </c>
      <c r="D34" s="85" t="s">
        <v>174</v>
      </c>
      <c r="E34" s="367"/>
      <c r="F34" s="383"/>
      <c r="L34" s="384"/>
      <c r="N34" s="84" t="s">
        <v>16</v>
      </c>
      <c r="O34" s="133" t="s">
        <v>173</v>
      </c>
      <c r="P34" s="385"/>
      <c r="R34" s="21"/>
      <c r="S34" s="206"/>
      <c r="U34" s="203"/>
      <c r="V34" s="206"/>
      <c r="W34" s="21"/>
      <c r="AF34" s="84" t="s">
        <v>175</v>
      </c>
      <c r="AG34" s="36" t="str">
        <f>"ADDR 20-21"</f>
        <v>ADDR 20-21</v>
      </c>
      <c r="AH34" s="85" t="str">
        <f>"1, 1, 0, 0"</f>
        <v>1, 1, 0, 0</v>
      </c>
    </row>
    <row r="35" spans="2:34" x14ac:dyDescent="0.2">
      <c r="B35" s="84" t="s">
        <v>50</v>
      </c>
      <c r="C35" s="36" t="s">
        <v>722</v>
      </c>
      <c r="D35" s="85" t="s">
        <v>176</v>
      </c>
      <c r="E35" s="367"/>
      <c r="F35" s="383"/>
      <c r="L35" s="384"/>
      <c r="N35" s="84" t="s">
        <v>16</v>
      </c>
      <c r="O35" s="133" t="s">
        <v>175</v>
      </c>
      <c r="P35" s="385"/>
      <c r="R35" s="21"/>
      <c r="S35" s="206"/>
      <c r="U35" s="203"/>
      <c r="V35" s="206"/>
      <c r="W35" s="21"/>
      <c r="AF35" s="84" t="s">
        <v>177</v>
      </c>
      <c r="AG35" s="36" t="str">
        <f>"ADDR 22-23"</f>
        <v>ADDR 22-23</v>
      </c>
      <c r="AH35" s="85" t="str">
        <f>"1, 1, 0, 0"</f>
        <v>1, 1, 0, 0</v>
      </c>
    </row>
    <row r="36" spans="2:34" x14ac:dyDescent="0.2">
      <c r="B36" s="84" t="s">
        <v>50</v>
      </c>
      <c r="C36" s="36" t="s">
        <v>723</v>
      </c>
      <c r="D36" s="85" t="s">
        <v>178</v>
      </c>
      <c r="E36" s="367"/>
      <c r="F36" s="383"/>
      <c r="L36" s="384"/>
      <c r="N36" s="84" t="s">
        <v>16</v>
      </c>
      <c r="O36" s="133" t="s">
        <v>177</v>
      </c>
      <c r="P36" s="385"/>
      <c r="R36" s="21"/>
      <c r="S36" s="206"/>
      <c r="U36" s="203"/>
      <c r="V36" s="206"/>
      <c r="W36" s="21"/>
      <c r="AF36" s="84" t="s">
        <v>179</v>
      </c>
      <c r="AG36" s="36" t="str">
        <f>"ADDR 24-25"</f>
        <v>ADDR 24-25</v>
      </c>
      <c r="AH36" s="85" t="str">
        <f>"1, 1, 0, 0"</f>
        <v>1, 1, 0, 0</v>
      </c>
    </row>
    <row r="37" spans="2:34" x14ac:dyDescent="0.2">
      <c r="B37" s="84" t="s">
        <v>50</v>
      </c>
      <c r="C37" s="36" t="s">
        <v>730</v>
      </c>
      <c r="D37" s="85" t="s">
        <v>180</v>
      </c>
      <c r="E37" s="367"/>
      <c r="F37" s="383"/>
      <c r="L37" s="384"/>
      <c r="N37" s="84" t="s">
        <v>16</v>
      </c>
      <c r="O37" s="133" t="s">
        <v>179</v>
      </c>
      <c r="P37" s="385"/>
      <c r="R37" s="21"/>
      <c r="S37" s="206"/>
      <c r="U37" s="203"/>
      <c r="V37" s="206"/>
      <c r="W37" s="21"/>
      <c r="AF37" s="84" t="s">
        <v>181</v>
      </c>
      <c r="AG37" s="36" t="str">
        <f>"ADDR 26-27"</f>
        <v>ADDR 26-27</v>
      </c>
      <c r="AH37" s="85" t="str">
        <f>"1, 1, 0, 0"</f>
        <v>1, 1, 0, 0</v>
      </c>
    </row>
    <row r="38" spans="2:34" x14ac:dyDescent="0.2">
      <c r="B38" s="84" t="s">
        <v>50</v>
      </c>
      <c r="C38" s="36" t="s">
        <v>731</v>
      </c>
      <c r="D38" s="85" t="s">
        <v>182</v>
      </c>
      <c r="E38" s="367"/>
      <c r="F38" s="383"/>
      <c r="L38" s="384"/>
      <c r="N38" s="84" t="s">
        <v>16</v>
      </c>
      <c r="O38" s="133" t="s">
        <v>181</v>
      </c>
      <c r="P38" s="385"/>
      <c r="R38" s="21"/>
      <c r="S38" s="206"/>
      <c r="U38" s="203"/>
      <c r="V38" s="206"/>
      <c r="W38" s="21"/>
      <c r="AF38" s="84" t="s">
        <v>183</v>
      </c>
      <c r="AG38" s="36" t="str">
        <f>"ADDR 20-21"</f>
        <v>ADDR 20-21</v>
      </c>
      <c r="AH38" s="85" t="str">
        <f>"1, 1, 1, 0"</f>
        <v>1, 1, 1, 0</v>
      </c>
    </row>
    <row r="39" spans="2:34" x14ac:dyDescent="0.2">
      <c r="B39" s="84" t="s">
        <v>50</v>
      </c>
      <c r="C39" s="36" t="s">
        <v>732</v>
      </c>
      <c r="D39" s="85" t="s">
        <v>184</v>
      </c>
      <c r="E39" s="367"/>
      <c r="F39" s="383"/>
      <c r="L39" s="384"/>
      <c r="N39" s="84" t="s">
        <v>16</v>
      </c>
      <c r="O39" s="133" t="s">
        <v>183</v>
      </c>
      <c r="P39" s="385"/>
      <c r="R39" s="21"/>
      <c r="S39" s="206"/>
      <c r="U39" s="203"/>
      <c r="V39" s="206"/>
      <c r="W39" s="21"/>
      <c r="AF39" s="84" t="s">
        <v>185</v>
      </c>
      <c r="AG39" s="36" t="str">
        <f>"ADDR 22-23"</f>
        <v>ADDR 22-23</v>
      </c>
      <c r="AH39" s="85" t="str">
        <f>"1, 1, 1, 0"</f>
        <v>1, 1, 1, 0</v>
      </c>
    </row>
    <row r="40" spans="2:34" x14ac:dyDescent="0.2">
      <c r="B40" s="84" t="s">
        <v>50</v>
      </c>
      <c r="C40" s="36" t="s">
        <v>733</v>
      </c>
      <c r="D40" s="85" t="s">
        <v>186</v>
      </c>
      <c r="E40" s="367"/>
      <c r="F40" s="383"/>
      <c r="L40" s="384"/>
      <c r="N40" s="84" t="s">
        <v>16</v>
      </c>
      <c r="O40" s="133" t="s">
        <v>185</v>
      </c>
      <c r="P40" s="385"/>
      <c r="R40" s="21"/>
      <c r="S40" s="206"/>
      <c r="U40" s="203"/>
      <c r="V40" s="206"/>
      <c r="W40" s="21"/>
      <c r="AF40" s="84" t="s">
        <v>187</v>
      </c>
      <c r="AG40" s="36" t="str">
        <f>"ADDR 24-25"</f>
        <v>ADDR 24-25</v>
      </c>
      <c r="AH40" s="85" t="str">
        <f>"1, 1, 1, 0"</f>
        <v>1, 1, 1, 0</v>
      </c>
    </row>
    <row r="41" spans="2:34" x14ac:dyDescent="0.2">
      <c r="B41" s="84" t="s">
        <v>50</v>
      </c>
      <c r="C41" s="36" t="s">
        <v>734</v>
      </c>
      <c r="D41" s="85" t="s">
        <v>188</v>
      </c>
      <c r="E41" s="367"/>
      <c r="F41" s="383"/>
      <c r="L41" s="384"/>
      <c r="N41" s="84" t="s">
        <v>16</v>
      </c>
      <c r="O41" s="133" t="s">
        <v>187</v>
      </c>
      <c r="P41" s="385"/>
      <c r="R41" s="21"/>
      <c r="S41" s="206"/>
      <c r="U41" s="203"/>
      <c r="V41" s="206"/>
      <c r="W41" s="21"/>
      <c r="AF41" s="84" t="s">
        <v>189</v>
      </c>
      <c r="AG41" s="36" t="str">
        <f>"ADDR 26-27"</f>
        <v>ADDR 26-27</v>
      </c>
      <c r="AH41" s="85" t="str">
        <f>"1, 1, 1, 0"</f>
        <v>1, 1, 1, 0</v>
      </c>
    </row>
    <row r="42" spans="2:34" x14ac:dyDescent="0.2">
      <c r="B42" s="37" t="s">
        <v>50</v>
      </c>
      <c r="C42" s="38" t="s">
        <v>735</v>
      </c>
      <c r="D42" s="39" t="s">
        <v>190</v>
      </c>
      <c r="E42" s="367"/>
      <c r="N42" s="84" t="s">
        <v>16</v>
      </c>
      <c r="O42" s="133" t="s">
        <v>189</v>
      </c>
      <c r="R42" s="21"/>
      <c r="S42" s="206"/>
      <c r="U42" s="203"/>
      <c r="V42" s="206"/>
      <c r="W42" s="21"/>
      <c r="AF42" s="84" t="s">
        <v>191</v>
      </c>
      <c r="AG42" s="36" t="str">
        <f>"ADDR 20-21"</f>
        <v>ADDR 20-21</v>
      </c>
      <c r="AH42" s="85" t="str">
        <f>"1, 1, 1, 1"</f>
        <v>1, 1, 1, 1</v>
      </c>
    </row>
    <row r="43" spans="2:34" ht="16" thickBot="1" x14ac:dyDescent="0.25">
      <c r="B43" s="86" t="s">
        <v>50</v>
      </c>
      <c r="C43" s="42" t="s">
        <v>102</v>
      </c>
      <c r="D43" s="87" t="s">
        <v>103</v>
      </c>
      <c r="E43" s="368"/>
      <c r="N43" s="84" t="s">
        <v>16</v>
      </c>
      <c r="O43" s="133" t="s">
        <v>191</v>
      </c>
      <c r="R43" s="21"/>
      <c r="S43" s="206"/>
      <c r="U43" s="203"/>
      <c r="V43" s="206"/>
      <c r="W43" s="21"/>
      <c r="AF43" s="84" t="s">
        <v>192</v>
      </c>
      <c r="AG43" s="36" t="str">
        <f>"ADDR 22-23"</f>
        <v>ADDR 22-23</v>
      </c>
      <c r="AH43" s="85" t="str">
        <f>"1, 1, 1, 1"</f>
        <v>1, 1, 1, 1</v>
      </c>
    </row>
    <row r="44" spans="2:34" x14ac:dyDescent="0.2">
      <c r="N44" s="84" t="s">
        <v>16</v>
      </c>
      <c r="O44" s="133" t="s">
        <v>192</v>
      </c>
      <c r="R44" s="21"/>
      <c r="S44" s="206"/>
      <c r="U44" s="203"/>
      <c r="V44" s="206"/>
      <c r="W44" s="21"/>
      <c r="AF44" s="84" t="s">
        <v>193</v>
      </c>
      <c r="AG44" s="36" t="str">
        <f>"ADDR 24-25"</f>
        <v>ADDR 24-25</v>
      </c>
      <c r="AH44" s="85" t="str">
        <f>"1, 1, 1, 1"</f>
        <v>1, 1, 1, 1</v>
      </c>
    </row>
    <row r="45" spans="2:34" x14ac:dyDescent="0.2">
      <c r="N45" s="84" t="s">
        <v>16</v>
      </c>
      <c r="O45" s="133" t="s">
        <v>193</v>
      </c>
      <c r="R45" s="21"/>
      <c r="S45" s="206"/>
      <c r="U45" s="203"/>
      <c r="V45" s="206"/>
      <c r="W45" s="21"/>
      <c r="AF45" s="84" t="s">
        <v>194</v>
      </c>
      <c r="AG45" s="36" t="str">
        <f>"ADDR 26-27"</f>
        <v>ADDR 26-27</v>
      </c>
      <c r="AH45" s="85" t="str">
        <f>"1, 1, 1, 1"</f>
        <v>1, 1, 1, 1</v>
      </c>
    </row>
    <row r="46" spans="2:34" x14ac:dyDescent="0.2">
      <c r="N46" s="84" t="s">
        <v>16</v>
      </c>
      <c r="O46" s="133" t="s">
        <v>194</v>
      </c>
      <c r="R46" s="21"/>
      <c r="S46" s="206"/>
      <c r="U46" s="203"/>
      <c r="V46" s="206"/>
      <c r="W46" s="21"/>
      <c r="AF46" s="84" t="s">
        <v>17</v>
      </c>
      <c r="AG46" s="36" t="str">
        <f>"ADDR 20-21"</f>
        <v>ADDR 20-21</v>
      </c>
      <c r="AH46" s="85" t="str">
        <f>"0, 0, 0, 0"</f>
        <v>0, 0, 0, 0</v>
      </c>
    </row>
    <row r="47" spans="2:34" x14ac:dyDescent="0.2">
      <c r="N47" s="84" t="s">
        <v>16</v>
      </c>
      <c r="O47" s="133" t="s">
        <v>17</v>
      </c>
      <c r="R47" s="21"/>
      <c r="S47" s="206"/>
      <c r="U47" s="203"/>
      <c r="V47" s="206"/>
      <c r="W47" s="21"/>
      <c r="AF47" s="84" t="s">
        <v>195</v>
      </c>
      <c r="AG47" s="36" t="str">
        <f>"ADDR 22-23"</f>
        <v>ADDR 22-23</v>
      </c>
      <c r="AH47" s="85" t="str">
        <f>"0, 0, 0, 0"</f>
        <v>0, 0, 0, 0</v>
      </c>
    </row>
    <row r="48" spans="2:34" x14ac:dyDescent="0.2">
      <c r="N48" s="84" t="s">
        <v>16</v>
      </c>
      <c r="O48" s="133" t="s">
        <v>195</v>
      </c>
      <c r="R48" s="21"/>
      <c r="S48" s="206"/>
      <c r="U48" s="203"/>
      <c r="V48" s="206"/>
      <c r="W48" s="21"/>
      <c r="AF48" s="84" t="s">
        <v>196</v>
      </c>
      <c r="AG48" s="36" t="str">
        <f>"ADDR 24-25"</f>
        <v>ADDR 24-25</v>
      </c>
      <c r="AH48" s="85" t="str">
        <f>"0, 0, 0, 0"</f>
        <v>0, 0, 0, 0</v>
      </c>
    </row>
    <row r="49" spans="14:34" x14ac:dyDescent="0.2">
      <c r="N49" s="84" t="s">
        <v>16</v>
      </c>
      <c r="O49" s="133" t="s">
        <v>196</v>
      </c>
      <c r="R49" s="21"/>
      <c r="S49" s="206"/>
      <c r="U49" s="203"/>
      <c r="V49" s="206"/>
      <c r="W49" s="21"/>
      <c r="AF49" s="84" t="s">
        <v>197</v>
      </c>
      <c r="AG49" s="36" t="str">
        <f>"ADDR 26-27"</f>
        <v>ADDR 26-27</v>
      </c>
      <c r="AH49" s="85" t="str">
        <f>"0, 0, 0, 0"</f>
        <v>0, 0, 0, 0</v>
      </c>
    </row>
    <row r="50" spans="14:34" x14ac:dyDescent="0.2">
      <c r="N50" s="84" t="s">
        <v>16</v>
      </c>
      <c r="O50" s="133" t="s">
        <v>197</v>
      </c>
      <c r="Q50" s="203"/>
      <c r="R50" s="21"/>
      <c r="S50" s="206"/>
      <c r="U50" s="203"/>
      <c r="V50" s="206"/>
      <c r="W50" s="21"/>
      <c r="AF50" s="84" t="s">
        <v>198</v>
      </c>
      <c r="AG50" s="36" t="str">
        <f>"ADDR 20-21"</f>
        <v>ADDR 20-21</v>
      </c>
      <c r="AH50" s="85" t="str">
        <f>"1, 0, 0, 0"</f>
        <v>1, 0, 0, 0</v>
      </c>
    </row>
    <row r="51" spans="14:34" x14ac:dyDescent="0.2">
      <c r="N51" s="84" t="s">
        <v>16</v>
      </c>
      <c r="O51" s="133" t="s">
        <v>198</v>
      </c>
      <c r="AF51" s="84" t="s">
        <v>199</v>
      </c>
      <c r="AG51" s="36" t="str">
        <f>"ADDR 22-23"</f>
        <v>ADDR 22-23</v>
      </c>
      <c r="AH51" s="85" t="str">
        <f>"1, 0, 0, 0"</f>
        <v>1, 0, 0, 0</v>
      </c>
    </row>
    <row r="52" spans="14:34" x14ac:dyDescent="0.2">
      <c r="N52" s="84" t="s">
        <v>16</v>
      </c>
      <c r="O52" s="133" t="s">
        <v>199</v>
      </c>
      <c r="AF52" s="84" t="s">
        <v>200</v>
      </c>
      <c r="AG52" s="36" t="str">
        <f>"ADDR 24-25"</f>
        <v>ADDR 24-25</v>
      </c>
      <c r="AH52" s="85" t="str">
        <f>"1, 0, 0, 0"</f>
        <v>1, 0, 0, 0</v>
      </c>
    </row>
    <row r="53" spans="14:34" ht="16" thickBot="1" x14ac:dyDescent="0.25">
      <c r="N53" s="84" t="s">
        <v>16</v>
      </c>
      <c r="O53" s="133" t="s">
        <v>200</v>
      </c>
      <c r="AF53" s="86" t="s">
        <v>201</v>
      </c>
      <c r="AG53" s="42" t="str">
        <f>"ADDR 26-27"</f>
        <v>ADDR 26-27</v>
      </c>
      <c r="AH53" s="87" t="str">
        <f>"1, 0, 0, 0"</f>
        <v>1, 0, 0, 0</v>
      </c>
    </row>
    <row r="54" spans="14:34" x14ac:dyDescent="0.2">
      <c r="N54" s="84" t="s">
        <v>16</v>
      </c>
      <c r="O54" s="133" t="s">
        <v>201</v>
      </c>
    </row>
    <row r="55" spans="14:34" x14ac:dyDescent="0.2">
      <c r="N55" s="84" t="s">
        <v>16</v>
      </c>
      <c r="O55" s="133" t="s">
        <v>74</v>
      </c>
    </row>
    <row r="56" spans="14:34" ht="16" thickBot="1" x14ac:dyDescent="0.25">
      <c r="N56" s="86" t="s">
        <v>26</v>
      </c>
      <c r="O56" s="134" t="s">
        <v>26</v>
      </c>
    </row>
  </sheetData>
  <sortState xmlns:xlrd2="http://schemas.microsoft.com/office/spreadsheetml/2017/richdata2" ref="B13:D43">
    <sortCondition ref="C13:C43"/>
  </sortState>
  <dataConsolidate/>
  <mergeCells count="22">
    <mergeCell ref="X1:X7"/>
    <mergeCell ref="Z1:AD7"/>
    <mergeCell ref="AF1:AH7"/>
    <mergeCell ref="AJ1:AN7"/>
    <mergeCell ref="AM10:AN10"/>
    <mergeCell ref="AK9:AN9"/>
    <mergeCell ref="AT1:BA1"/>
    <mergeCell ref="E2:E43"/>
    <mergeCell ref="Z8:AD8"/>
    <mergeCell ref="AF8:AH8"/>
    <mergeCell ref="AJ8:AN8"/>
    <mergeCell ref="AP8:AR8"/>
    <mergeCell ref="U7:V7"/>
    <mergeCell ref="Q11:S11"/>
    <mergeCell ref="F10:F41"/>
    <mergeCell ref="L9:L41"/>
    <mergeCell ref="P9:P41"/>
    <mergeCell ref="Q1:S10"/>
    <mergeCell ref="U1:V6"/>
    <mergeCell ref="AP1:AR7"/>
    <mergeCell ref="H1:I1"/>
    <mergeCell ref="AJ10:AL10"/>
  </mergeCells>
  <dataValidations count="1">
    <dataValidation type="list" allowBlank="1" showInputMessage="1" showErrorMessage="1" sqref="L2:L3" xr:uid="{B730F734-459B-624C-8055-612BF61D165F}">
      <formula1>OFFSET($J$1, MATCH(G2,$J$1:$J$14,0)-1,1,COUNTIF($J$1:$J$14,G2),1)</formula1>
    </dataValidation>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J160"/>
  <sheetViews>
    <sheetView topLeftCell="B2" zoomScale="180" zoomScaleNormal="180" zoomScalePageLayoutView="130" workbookViewId="0">
      <selection activeCell="N20" sqref="N20"/>
    </sheetView>
  </sheetViews>
  <sheetFormatPr baseColWidth="10" defaultColWidth="8.83203125" defaultRowHeight="15" x14ac:dyDescent="0.2"/>
  <cols>
    <col min="1" max="1" width="2.83203125" style="1" hidden="1" customWidth="1"/>
    <col min="2" max="2" width="10.83203125" style="1" customWidth="1"/>
    <col min="3" max="3" width="24" style="1" customWidth="1"/>
    <col min="4" max="4" width="24.5" style="1" customWidth="1"/>
    <col min="5" max="5" width="37.83203125" style="8" customWidth="1"/>
    <col min="6" max="7" width="10.5" style="1" customWidth="1"/>
    <col min="8" max="8" width="22.33203125" style="8" customWidth="1"/>
    <col min="9" max="9" width="8.33203125" style="8" customWidth="1"/>
    <col min="10" max="10" width="7.1640625" style="8" customWidth="1"/>
    <col min="11" max="11" width="8.83203125" style="8" customWidth="1"/>
    <col min="12" max="12" width="10.5" style="8" customWidth="1"/>
    <col min="13" max="13" width="14.6640625" style="8" customWidth="1"/>
    <col min="14" max="14" width="29.1640625" style="1" customWidth="1"/>
    <col min="15" max="15" width="18.83203125" style="1" customWidth="1"/>
    <col min="16" max="16" width="22.5" style="1" customWidth="1"/>
    <col min="17" max="17" width="13.5" style="1" hidden="1" customWidth="1"/>
    <col min="18" max="21" width="0" style="1" hidden="1" customWidth="1"/>
    <col min="22" max="22" width="14.6640625" style="1" hidden="1" customWidth="1"/>
    <col min="23" max="23" width="10.33203125" style="1" hidden="1" customWidth="1"/>
    <col min="24" max="24" width="13" style="1" hidden="1" customWidth="1"/>
    <col min="25" max="16384" width="8.83203125" style="1"/>
  </cols>
  <sheetData>
    <row r="1" spans="1:24" ht="17" hidden="1" customHeight="1" thickBot="1" x14ac:dyDescent="0.25"/>
    <row r="2" spans="1:24" ht="27" customHeight="1" thickBot="1" x14ac:dyDescent="0.25">
      <c r="B2" s="413" t="s">
        <v>202</v>
      </c>
      <c r="C2" s="414"/>
      <c r="D2" s="414"/>
      <c r="E2" s="414"/>
      <c r="F2" s="414"/>
      <c r="G2" s="414"/>
      <c r="H2" s="414"/>
      <c r="I2" s="414"/>
      <c r="J2" s="414"/>
      <c r="K2" s="414"/>
      <c r="L2" s="414"/>
      <c r="M2" s="414"/>
      <c r="N2" s="414"/>
      <c r="O2" s="414"/>
      <c r="P2" s="415"/>
      <c r="Q2" s="422" t="s">
        <v>203</v>
      </c>
      <c r="R2" s="423"/>
      <c r="S2" s="423"/>
      <c r="T2" s="423"/>
      <c r="U2" s="423"/>
      <c r="V2" s="423"/>
      <c r="W2" s="423"/>
      <c r="X2" s="424"/>
    </row>
    <row r="3" spans="1:24" ht="22" customHeight="1" thickBot="1" x14ac:dyDescent="0.25">
      <c r="B3" s="442" t="s">
        <v>204</v>
      </c>
      <c r="C3" s="443"/>
      <c r="D3" s="444"/>
      <c r="E3" s="434" t="s">
        <v>205</v>
      </c>
      <c r="F3" s="435"/>
      <c r="G3" s="329"/>
      <c r="H3" s="425" t="str">
        <f>"const long CMRINET_SPEED =  " &amp; CMRINET_BAUD_RATE &amp; ";"</f>
        <v>const long CMRINET_SPEED =  115200;</v>
      </c>
      <c r="I3" s="426"/>
      <c r="J3" s="426"/>
      <c r="K3" s="426"/>
      <c r="L3" s="438"/>
      <c r="M3" s="438"/>
      <c r="N3" s="439"/>
      <c r="O3" s="416" t="s">
        <v>495</v>
      </c>
      <c r="P3" s="417"/>
      <c r="Q3" s="270" t="str">
        <f t="shared" ref="Q3:Q10" si="0">IF(D7="-",D7,VLOOKUP(D7,IOXSketchTable,2,TRUE))</f>
        <v>-</v>
      </c>
      <c r="R3" s="29" t="str">
        <f t="shared" ref="R3:R10" si="1">IF(D7="-",D7,VLOOKUP(D7,IOXSketchTable,3,TRUE))</f>
        <v>-</v>
      </c>
      <c r="S3" s="29" t="b">
        <f>IF(Q3&lt;&gt;"-", TRUE, FALSE)</f>
        <v>0</v>
      </c>
      <c r="T3" s="29">
        <v>0</v>
      </c>
      <c r="U3" s="29" t="b">
        <f t="shared" ref="U3:U10" si="2">IF(D7&lt;&gt;"-",IF(LEFT(D6,5)="IOX32",FALSE,IF(VALUE(RIGHT(D7,1))&lt;&gt;T3,FALSE, TRUE)),TRUE)</f>
        <v>1</v>
      </c>
      <c r="V3" s="29" t="str">
        <f>"ADDR 20-21"</f>
        <v>ADDR 20-21</v>
      </c>
      <c r="W3" s="29" t="str">
        <f>"ADDR 20"</f>
        <v>ADDR 20</v>
      </c>
      <c r="X3" s="104" t="str">
        <f>IF(Q3=V3,LEFT(R3,4),IF(Q3=W3,R3,"-1, -1"))</f>
        <v>-1, -1</v>
      </c>
    </row>
    <row r="4" spans="1:24" ht="22" customHeight="1" thickBot="1" x14ac:dyDescent="0.25">
      <c r="B4" s="445" t="s">
        <v>206</v>
      </c>
      <c r="C4" s="446"/>
      <c r="D4" s="56" t="str">
        <f ca="1">RIGHT(CELL("filename",A1),LEN(CELL("filename",A1))-FIND("]",CELL("filename",A1)))</f>
        <v>Node 1</v>
      </c>
      <c r="E4" s="434"/>
      <c r="F4" s="435"/>
      <c r="G4" s="329"/>
      <c r="H4" s="427" t="str">
        <f ca="1">"int nodeID = " &amp; $D$5 &amp; ";"</f>
        <v>int nodeID = 1;</v>
      </c>
      <c r="I4" s="428"/>
      <c r="J4" s="428"/>
      <c r="K4" s="428"/>
      <c r="L4" s="431" t="str">
        <f>IF($S$11,"#DEFINE USE_IOX","//#DEFINE USE_IOX")</f>
        <v>//#DEFINE USE_IOX</v>
      </c>
      <c r="M4" s="431"/>
      <c r="N4" s="432"/>
      <c r="O4" s="418"/>
      <c r="P4" s="419"/>
      <c r="Q4" s="98" t="str">
        <f t="shared" si="0"/>
        <v>-</v>
      </c>
      <c r="R4" s="10" t="str">
        <f t="shared" si="1"/>
        <v>-</v>
      </c>
      <c r="S4" s="29" t="b">
        <f t="shared" ref="S4:S10" si="3">IF(Q4&lt;&gt;"-", TRUE, FALSE)</f>
        <v>0</v>
      </c>
      <c r="T4" s="10">
        <v>1</v>
      </c>
      <c r="U4" s="10" t="b">
        <f t="shared" si="2"/>
        <v>1</v>
      </c>
      <c r="V4" s="10"/>
      <c r="W4" s="10" t="str">
        <f>"ADDR 21"</f>
        <v>ADDR 21</v>
      </c>
      <c r="X4" s="92" t="str">
        <f>IF(Q3=V3,RIGHT(R3,4),IF(Q4=W4,R4,"-1, -1"))</f>
        <v>-1, -1</v>
      </c>
    </row>
    <row r="5" spans="1:24" ht="22" customHeight="1" thickBot="1" x14ac:dyDescent="0.25">
      <c r="A5" s="1" t="s">
        <v>37</v>
      </c>
      <c r="B5" s="440" t="s">
        <v>207</v>
      </c>
      <c r="C5" s="441"/>
      <c r="D5" s="67">
        <f ca="1">VLOOKUP(D4, NODE_TABLE,2)</f>
        <v>1</v>
      </c>
      <c r="E5" s="436"/>
      <c r="F5" s="437"/>
      <c r="G5" s="328"/>
      <c r="H5" s="429" t="str">
        <f>"#DEFINE "&amp;$D$6</f>
        <v>#DEFINE BASE_NODE_12OUT4IN</v>
      </c>
      <c r="I5" s="430"/>
      <c r="J5" s="430"/>
      <c r="K5" s="430"/>
      <c r="L5" s="430" t="str">
        <f>"IOX_ioMap[max_IOX] = { "&amp; $X$3 &amp; ", " &amp; $X$4 &amp; ", " &amp; $X$5 &amp; ", " &amp; $X$6 &amp; ", " &amp; $X$7 &amp; ", " &amp; $X$8 &amp; ", " &amp; $X$9 &amp; ", " &amp; $X$10 &amp; " };"</f>
        <v>IOX_ioMap[max_IOX] = { -1, -1, -1, -1, -1, -1, -1, -1, -1, -1, -1, -1, -1, -1, -1, -1 };</v>
      </c>
      <c r="M5" s="430"/>
      <c r="N5" s="433"/>
      <c r="O5" s="420"/>
      <c r="P5" s="421"/>
      <c r="Q5" s="98" t="str">
        <f t="shared" si="0"/>
        <v>-</v>
      </c>
      <c r="R5" s="10" t="str">
        <f t="shared" si="1"/>
        <v>-</v>
      </c>
      <c r="S5" s="29" t="b">
        <f t="shared" si="3"/>
        <v>0</v>
      </c>
      <c r="T5" s="10">
        <v>2</v>
      </c>
      <c r="U5" s="10" t="b">
        <f t="shared" si="2"/>
        <v>1</v>
      </c>
      <c r="V5" s="10" t="str">
        <f>"ADDR 22-23"</f>
        <v>ADDR 22-23</v>
      </c>
      <c r="W5" s="10" t="str">
        <f>"ADDR 22"</f>
        <v>ADDR 22</v>
      </c>
      <c r="X5" s="92" t="str">
        <f>IF(Q5=V5,LEFT(R5,4),IF(Q5=W5,R5,"-1, -1"))</f>
        <v>-1, -1</v>
      </c>
    </row>
    <row r="6" spans="1:24" ht="22" customHeight="1" x14ac:dyDescent="0.2">
      <c r="A6" s="1" t="s">
        <v>12</v>
      </c>
      <c r="B6" s="105" t="str">
        <f>"IOX ADDR"</f>
        <v>IOX ADDR</v>
      </c>
      <c r="C6" s="80" t="s">
        <v>208</v>
      </c>
      <c r="D6" s="69" t="s">
        <v>54</v>
      </c>
      <c r="E6" s="74" t="s">
        <v>209</v>
      </c>
      <c r="F6" s="88">
        <f t="shared" ref="F6:F14" si="4">IF(LEFT(D6,4)="BASE",16,IF(LEFT(D6,3)="IOX",VALUE(MID(D6,4,2)),0))</f>
        <v>16</v>
      </c>
      <c r="G6" s="330"/>
      <c r="H6" s="109" t="s">
        <v>210</v>
      </c>
      <c r="I6" s="110" t="s">
        <v>76</v>
      </c>
      <c r="J6" s="110" t="s">
        <v>77</v>
      </c>
      <c r="K6" s="110" t="s">
        <v>78</v>
      </c>
      <c r="L6" s="111" t="s">
        <v>38</v>
      </c>
      <c r="M6" s="112" t="s">
        <v>211</v>
      </c>
      <c r="N6" s="103" t="str">
        <f>IF(U11=FALSE,"IOX Addressing Error",IF(OR(M7&gt;144,M11&lt;0),"Too Many IOX Modules","Looks Good"))</f>
        <v>Looks Good</v>
      </c>
      <c r="O6" s="280" t="s">
        <v>707</v>
      </c>
      <c r="P6" s="282">
        <f t="shared" ref="P6:P11" si="5">COUNTIF($C$17:$C$32,$O6)</f>
        <v>0</v>
      </c>
      <c r="Q6" s="98" t="str">
        <f t="shared" si="0"/>
        <v>-</v>
      </c>
      <c r="R6" s="10" t="str">
        <f t="shared" si="1"/>
        <v>-</v>
      </c>
      <c r="S6" s="29" t="b">
        <f t="shared" si="3"/>
        <v>0</v>
      </c>
      <c r="T6" s="10">
        <v>3</v>
      </c>
      <c r="U6" s="10" t="b">
        <f t="shared" si="2"/>
        <v>1</v>
      </c>
      <c r="V6" s="10"/>
      <c r="W6" s="10" t="str">
        <f>"ADDR 23"</f>
        <v>ADDR 23</v>
      </c>
      <c r="X6" s="92" t="str">
        <f>IF(Q5=V5,RIGHT(R5,4),IF(Q6=W6,R6,"-1, -1"))</f>
        <v>-1, -1</v>
      </c>
    </row>
    <row r="7" spans="1:24" ht="22" customHeight="1" x14ac:dyDescent="0.2">
      <c r="A7" s="1" t="s">
        <v>16</v>
      </c>
      <c r="B7" s="70" t="s">
        <v>212</v>
      </c>
      <c r="C7" s="411" t="s">
        <v>213</v>
      </c>
      <c r="D7" s="68" t="s">
        <v>74</v>
      </c>
      <c r="E7" s="75" t="str">
        <f>" Total IOX ("&amp;B7&amp;") I/O ="</f>
        <v xml:space="preserve"> Total IOX (0x20) I/O =</v>
      </c>
      <c r="F7" s="89">
        <f t="shared" si="4"/>
        <v>0</v>
      </c>
      <c r="G7" s="331"/>
      <c r="H7" s="96" t="str">
        <f>IF($L7&lt;&gt;"n/a",VLOOKUP($L7,IOXJumperConfiguration,2,TRUE),$L7)</f>
        <v>n/a</v>
      </c>
      <c r="I7" s="10" t="str">
        <f t="shared" ref="I7:I14" si="6">IF($L7&lt;&gt;"n/a",VLOOKUP($L7,IOXJumperConfiguration,3,TRUE),$L7)</f>
        <v>n/a</v>
      </c>
      <c r="J7" s="10" t="str">
        <f t="shared" ref="J7:J14" si="7">IF($L7&lt;&gt;"n/a",VLOOKUP($L7,IOXJumperConfiguration,4,TRUE),$L7)</f>
        <v>n/a</v>
      </c>
      <c r="K7" s="10" t="str">
        <f t="shared" ref="K7:K14" si="8">IF($L7&lt;&gt;"n/a",VLOOKUP($L7,IOXJumperConfiguration,5,TRUE),$L7)</f>
        <v>n/a</v>
      </c>
      <c r="L7" s="101" t="str">
        <f t="shared" ref="L7:L14" si="9">IF(LEFT($D7,3)="IOX", LEFT($D7,5)&amp;RIGHT($D7,2), "n/a")</f>
        <v>n/a</v>
      </c>
      <c r="M7" s="98">
        <f>SUM($F$6:$F$14)</f>
        <v>16</v>
      </c>
      <c r="N7" s="81" t="s">
        <v>214</v>
      </c>
      <c r="O7" s="280" t="s">
        <v>708</v>
      </c>
      <c r="P7" s="282">
        <f t="shared" si="5"/>
        <v>0</v>
      </c>
      <c r="Q7" s="98" t="str">
        <f t="shared" si="0"/>
        <v>-</v>
      </c>
      <c r="R7" s="10" t="str">
        <f t="shared" si="1"/>
        <v>-</v>
      </c>
      <c r="S7" s="29" t="b">
        <f t="shared" si="3"/>
        <v>0</v>
      </c>
      <c r="T7" s="10">
        <v>4</v>
      </c>
      <c r="U7" s="10" t="b">
        <f t="shared" si="2"/>
        <v>1</v>
      </c>
      <c r="V7" s="10" t="str">
        <f>"ADDR 24-25"</f>
        <v>ADDR 24-25</v>
      </c>
      <c r="W7" s="10" t="str">
        <f>"ADDR 24"</f>
        <v>ADDR 24</v>
      </c>
      <c r="X7" s="92" t="str">
        <f>IF(Q7=V7,LEFT(R7,4),IF(Q7=W7,R7,"-1, -1"))</f>
        <v>-1, -1</v>
      </c>
    </row>
    <row r="8" spans="1:24" ht="22" customHeight="1" x14ac:dyDescent="0.2">
      <c r="A8" s="1" t="s">
        <v>16</v>
      </c>
      <c r="B8" s="70" t="s">
        <v>215</v>
      </c>
      <c r="C8" s="411"/>
      <c r="D8" s="68" t="s">
        <v>74</v>
      </c>
      <c r="E8" s="75" t="str">
        <f t="shared" ref="E8:E14" si="10">" Total IOX ("&amp;B8&amp;") I/O ="</f>
        <v xml:space="preserve"> Total IOX (0x21) I/O =</v>
      </c>
      <c r="F8" s="89">
        <f t="shared" si="4"/>
        <v>0</v>
      </c>
      <c r="G8" s="331"/>
      <c r="H8" s="96" t="str">
        <f t="shared" ref="H8:H14" si="11">IF(L8&lt;&gt;"n/a",VLOOKUP(L8,IOXJumperConfiguration,2,TRUE),L8)</f>
        <v>n/a</v>
      </c>
      <c r="I8" s="72" t="str">
        <f t="shared" si="6"/>
        <v>n/a</v>
      </c>
      <c r="J8" s="72" t="str">
        <f t="shared" si="7"/>
        <v>n/a</v>
      </c>
      <c r="K8" s="72" t="str">
        <f t="shared" si="8"/>
        <v>n/a</v>
      </c>
      <c r="L8" s="92" t="str">
        <f t="shared" si="9"/>
        <v>n/a</v>
      </c>
      <c r="M8" s="99">
        <f>COUNTIF(D7:D14,"IOX16*")*2</f>
        <v>0</v>
      </c>
      <c r="N8" s="81" t="s">
        <v>216</v>
      </c>
      <c r="O8" s="280" t="s">
        <v>703</v>
      </c>
      <c r="P8" s="282">
        <f t="shared" si="5"/>
        <v>14</v>
      </c>
      <c r="Q8" s="98" t="str">
        <f t="shared" si="0"/>
        <v>-</v>
      </c>
      <c r="R8" s="10" t="str">
        <f t="shared" si="1"/>
        <v>-</v>
      </c>
      <c r="S8" s="29" t="b">
        <f t="shared" si="3"/>
        <v>0</v>
      </c>
      <c r="T8" s="10">
        <v>5</v>
      </c>
      <c r="U8" s="10" t="b">
        <f t="shared" si="2"/>
        <v>1</v>
      </c>
      <c r="V8" s="10"/>
      <c r="W8" s="10" t="str">
        <f>"ADDR 25"</f>
        <v>ADDR 25</v>
      </c>
      <c r="X8" s="92" t="str">
        <f>IF(Q7=V7,RIGHT(R7,4),IF(Q8=W8,R8,"-1, -1"))</f>
        <v>-1, -1</v>
      </c>
    </row>
    <row r="9" spans="1:24" ht="22" customHeight="1" x14ac:dyDescent="0.2">
      <c r="A9" s="1" t="s">
        <v>16</v>
      </c>
      <c r="B9" s="70" t="s">
        <v>217</v>
      </c>
      <c r="C9" s="411"/>
      <c r="D9" s="68" t="s">
        <v>74</v>
      </c>
      <c r="E9" s="75" t="str">
        <f t="shared" si="10"/>
        <v xml:space="preserve"> Total IOX (0x22) I/O =</v>
      </c>
      <c r="F9" s="89">
        <f t="shared" si="4"/>
        <v>0</v>
      </c>
      <c r="G9" s="331"/>
      <c r="H9" s="96" t="str">
        <f t="shared" si="11"/>
        <v>n/a</v>
      </c>
      <c r="I9" s="72" t="str">
        <f t="shared" si="6"/>
        <v>n/a</v>
      </c>
      <c r="J9" s="72" t="str">
        <f t="shared" si="7"/>
        <v>n/a</v>
      </c>
      <c r="K9" s="72" t="str">
        <f t="shared" si="8"/>
        <v>n/a</v>
      </c>
      <c r="L9" s="92" t="str">
        <f t="shared" si="9"/>
        <v>n/a</v>
      </c>
      <c r="M9" s="99">
        <f>COUNTIF(D7:D14,"IOX32*")*4</f>
        <v>0</v>
      </c>
      <c r="N9" s="95" t="s">
        <v>218</v>
      </c>
      <c r="O9" s="280" t="s">
        <v>704</v>
      </c>
      <c r="P9" s="282">
        <f t="shared" si="5"/>
        <v>0</v>
      </c>
      <c r="Q9" s="98" t="str">
        <f t="shared" si="0"/>
        <v>-</v>
      </c>
      <c r="R9" s="10" t="str">
        <f t="shared" si="1"/>
        <v>-</v>
      </c>
      <c r="S9" s="29" t="b">
        <f t="shared" si="3"/>
        <v>0</v>
      </c>
      <c r="T9" s="10">
        <v>6</v>
      </c>
      <c r="U9" s="10" t="b">
        <f t="shared" si="2"/>
        <v>1</v>
      </c>
      <c r="V9" s="10" t="str">
        <f>"ADDR 26-27"</f>
        <v>ADDR 26-27</v>
      </c>
      <c r="W9" s="10" t="str">
        <f>"ADDR 26"</f>
        <v>ADDR 26</v>
      </c>
      <c r="X9" s="92" t="str">
        <f>IF(Q9=V9,LEFT(R9,4),IF(Q9=W9,R9,"-1, -1"))</f>
        <v>-1, -1</v>
      </c>
    </row>
    <row r="10" spans="1:24" ht="22" customHeight="1" x14ac:dyDescent="0.2">
      <c r="A10" s="1" t="s">
        <v>16</v>
      </c>
      <c r="B10" s="70" t="s">
        <v>219</v>
      </c>
      <c r="C10" s="411"/>
      <c r="D10" s="68" t="s">
        <v>74</v>
      </c>
      <c r="E10" s="75" t="str">
        <f t="shared" si="10"/>
        <v xml:space="preserve"> Total IOX (0x23) I/O =</v>
      </c>
      <c r="F10" s="89">
        <f t="shared" si="4"/>
        <v>0</v>
      </c>
      <c r="G10" s="331"/>
      <c r="H10" s="96" t="str">
        <f t="shared" si="11"/>
        <v>n/a</v>
      </c>
      <c r="I10" s="72" t="str">
        <f t="shared" si="6"/>
        <v>n/a</v>
      </c>
      <c r="J10" s="72" t="str">
        <f t="shared" si="7"/>
        <v>n/a</v>
      </c>
      <c r="K10" s="72" t="str">
        <f t="shared" si="8"/>
        <v>n/a</v>
      </c>
      <c r="L10" s="92" t="str">
        <f t="shared" si="9"/>
        <v>n/a</v>
      </c>
      <c r="M10" s="99">
        <f>4*4</f>
        <v>16</v>
      </c>
      <c r="N10" s="95" t="s">
        <v>220</v>
      </c>
      <c r="O10" s="280" t="s">
        <v>705</v>
      </c>
      <c r="P10" s="282">
        <f t="shared" si="5"/>
        <v>0</v>
      </c>
      <c r="Q10" s="98" t="str">
        <f t="shared" si="0"/>
        <v>-</v>
      </c>
      <c r="R10" s="10" t="str">
        <f t="shared" si="1"/>
        <v>-</v>
      </c>
      <c r="S10" s="29" t="b">
        <f t="shared" si="3"/>
        <v>0</v>
      </c>
      <c r="T10" s="10">
        <v>7</v>
      </c>
      <c r="U10" s="10" t="b">
        <f t="shared" si="2"/>
        <v>1</v>
      </c>
      <c r="V10" s="10"/>
      <c r="W10" s="10" t="str">
        <f>"ADDR 27"</f>
        <v>ADDR 27</v>
      </c>
      <c r="X10" s="92" t="str">
        <f>IF(Q9=V9,RIGHT(R9,4),IF(Q10=W10,R10,"-1, -1"))</f>
        <v>-1, -1</v>
      </c>
    </row>
    <row r="11" spans="1:24" ht="22" customHeight="1" thickBot="1" x14ac:dyDescent="0.25">
      <c r="A11" s="1" t="s">
        <v>16</v>
      </c>
      <c r="B11" s="70" t="s">
        <v>221</v>
      </c>
      <c r="C11" s="411"/>
      <c r="D11" s="68" t="s">
        <v>74</v>
      </c>
      <c r="E11" s="75" t="str">
        <f t="shared" si="10"/>
        <v xml:space="preserve"> Total IOX (0x24) I/O =</v>
      </c>
      <c r="F11" s="89">
        <f t="shared" si="4"/>
        <v>0</v>
      </c>
      <c r="G11" s="331"/>
      <c r="H11" s="96" t="str">
        <f t="shared" si="11"/>
        <v>n/a</v>
      </c>
      <c r="I11" s="72" t="str">
        <f t="shared" si="6"/>
        <v>n/a</v>
      </c>
      <c r="J11" s="72" t="str">
        <f t="shared" si="7"/>
        <v>n/a</v>
      </c>
      <c r="K11" s="72" t="str">
        <f t="shared" si="8"/>
        <v>n/a</v>
      </c>
      <c r="L11" s="92" t="str">
        <f t="shared" si="9"/>
        <v>n/a</v>
      </c>
      <c r="M11" s="99">
        <f>M10-M8-M9</f>
        <v>16</v>
      </c>
      <c r="N11" s="95" t="s">
        <v>222</v>
      </c>
      <c r="O11" s="280" t="s">
        <v>706</v>
      </c>
      <c r="P11" s="282">
        <f t="shared" si="5"/>
        <v>0</v>
      </c>
      <c r="Q11" s="271"/>
      <c r="R11" s="107" t="s">
        <v>223</v>
      </c>
      <c r="S11" s="106" t="b">
        <f>OR(S3:S10)</f>
        <v>0</v>
      </c>
      <c r="T11" s="7"/>
      <c r="U11" s="106" t="b">
        <f>AND(U3:U10)</f>
        <v>1</v>
      </c>
      <c r="V11" s="106"/>
      <c r="W11" s="106"/>
      <c r="X11" s="108"/>
    </row>
    <row r="12" spans="1:24" ht="22" customHeight="1" x14ac:dyDescent="0.2">
      <c r="A12" s="1" t="s">
        <v>16</v>
      </c>
      <c r="B12" s="70" t="s">
        <v>224</v>
      </c>
      <c r="C12" s="411"/>
      <c r="D12" s="68" t="s">
        <v>74</v>
      </c>
      <c r="E12" s="75" t="str">
        <f t="shared" si="10"/>
        <v xml:space="preserve"> Total IOX (0x25) I/O =</v>
      </c>
      <c r="F12" s="89">
        <f t="shared" si="4"/>
        <v>0</v>
      </c>
      <c r="G12" s="331"/>
      <c r="H12" s="96" t="str">
        <f t="shared" si="11"/>
        <v>n/a</v>
      </c>
      <c r="I12" s="72" t="str">
        <f t="shared" si="6"/>
        <v>n/a</v>
      </c>
      <c r="J12" s="72" t="str">
        <f t="shared" si="7"/>
        <v>n/a</v>
      </c>
      <c r="K12" s="72" t="str">
        <f t="shared" si="8"/>
        <v>n/a</v>
      </c>
      <c r="L12" s="92" t="str">
        <f t="shared" si="9"/>
        <v>n/a</v>
      </c>
      <c r="M12" s="99">
        <f>FLOOR(M11/2,1)</f>
        <v>8</v>
      </c>
      <c r="N12" s="95" t="s">
        <v>225</v>
      </c>
      <c r="O12" s="272" t="s">
        <v>135</v>
      </c>
      <c r="P12" s="282">
        <f>COUNTIF($C$17:$C$160,$O12)</f>
        <v>130</v>
      </c>
    </row>
    <row r="13" spans="1:24" ht="22" customHeight="1" x14ac:dyDescent="0.2">
      <c r="A13" s="1" t="s">
        <v>16</v>
      </c>
      <c r="B13" s="70" t="s">
        <v>226</v>
      </c>
      <c r="C13" s="411"/>
      <c r="D13" s="68" t="s">
        <v>74</v>
      </c>
      <c r="E13" s="75" t="str">
        <f t="shared" si="10"/>
        <v xml:space="preserve"> Total IOX (0x26) I/O =</v>
      </c>
      <c r="F13" s="89">
        <f t="shared" si="4"/>
        <v>0</v>
      </c>
      <c r="G13" s="331"/>
      <c r="H13" s="96" t="str">
        <f t="shared" si="11"/>
        <v>n/a</v>
      </c>
      <c r="I13" s="72" t="str">
        <f t="shared" si="6"/>
        <v>n/a</v>
      </c>
      <c r="J13" s="72" t="str">
        <f t="shared" si="7"/>
        <v>n/a</v>
      </c>
      <c r="K13" s="72" t="str">
        <f t="shared" si="8"/>
        <v>n/a</v>
      </c>
      <c r="L13" s="92" t="str">
        <f t="shared" si="9"/>
        <v>n/a</v>
      </c>
      <c r="M13" s="99">
        <f>FLOOR(M11/4,1)</f>
        <v>4</v>
      </c>
      <c r="N13" s="95" t="s">
        <v>227</v>
      </c>
      <c r="O13" s="272" t="s">
        <v>685</v>
      </c>
      <c r="P13" s="282">
        <f>SUM(P6:P12)</f>
        <v>144</v>
      </c>
    </row>
    <row r="14" spans="1:24" ht="22" customHeight="1" thickBot="1" x14ac:dyDescent="0.25">
      <c r="A14" s="1" t="s">
        <v>16</v>
      </c>
      <c r="B14" s="71" t="s">
        <v>228</v>
      </c>
      <c r="C14" s="412"/>
      <c r="D14" s="273" t="s">
        <v>74</v>
      </c>
      <c r="E14" s="76" t="str">
        <f t="shared" si="10"/>
        <v xml:space="preserve"> Total IOX (0x27) I/O =</v>
      </c>
      <c r="F14" s="90">
        <f t="shared" si="4"/>
        <v>0</v>
      </c>
      <c r="G14" s="332"/>
      <c r="H14" s="97" t="str">
        <f t="shared" si="11"/>
        <v>n/a</v>
      </c>
      <c r="I14" s="73" t="str">
        <f t="shared" si="6"/>
        <v>n/a</v>
      </c>
      <c r="J14" s="73" t="str">
        <f t="shared" si="7"/>
        <v>n/a</v>
      </c>
      <c r="K14" s="73" t="str">
        <f t="shared" si="8"/>
        <v>n/a</v>
      </c>
      <c r="L14" s="102" t="str">
        <f t="shared" si="9"/>
        <v>n/a</v>
      </c>
      <c r="M14" s="100"/>
      <c r="N14" s="91"/>
      <c r="O14" s="4"/>
      <c r="P14" s="283"/>
    </row>
    <row r="15" spans="1:24" s="2" customFormat="1" ht="27" customHeight="1" thickBot="1" x14ac:dyDescent="0.25">
      <c r="B15" s="413" t="s">
        <v>547</v>
      </c>
      <c r="C15" s="414"/>
      <c r="D15" s="414"/>
      <c r="E15" s="414"/>
      <c r="F15" s="414"/>
      <c r="G15" s="414"/>
      <c r="H15" s="414"/>
      <c r="I15" s="414"/>
      <c r="J15" s="414"/>
      <c r="K15" s="414"/>
      <c r="L15" s="414"/>
      <c r="M15" s="414"/>
      <c r="N15" s="414"/>
      <c r="O15" s="414"/>
      <c r="P15" s="415"/>
    </row>
    <row r="16" spans="1:24"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row>
    <row r="17" spans="1:62" s="3" customFormat="1" x14ac:dyDescent="0.2">
      <c r="A17" s="150"/>
      <c r="B17" s="255" t="s">
        <v>46</v>
      </c>
      <c r="C17" s="311" t="s">
        <v>703</v>
      </c>
      <c r="D17" s="256" t="s">
        <v>786</v>
      </c>
      <c r="E17" s="320" t="str">
        <f>IF(P17="-",P17,_xlfn.CONCAT(C17,":",P17))</f>
        <v>CTC_SINGLE_TRACK:OME:TS1</v>
      </c>
      <c r="F17" s="256" t="s">
        <v>74</v>
      </c>
      <c r="G17" s="325" t="s">
        <v>783</v>
      </c>
      <c r="H17" s="256" t="s">
        <v>54</v>
      </c>
      <c r="I17" s="254">
        <f>IF(LEFT(H17,4)="BASE",0,IF(LEFT(H17,3)="IOX", VALUE(MID(H17,4,2))*VALUE(RIGHT(H17,1)),0))</f>
        <v>0</v>
      </c>
      <c r="J17" s="5">
        <f t="shared" ref="J17:J64" si="12">IF(AND(H17=H16,B17=B16), J16+1,1)</f>
        <v>1</v>
      </c>
      <c r="K17" s="15" t="str">
        <f t="shared" ref="K17:K80" si="13">VLOOKUP(H17,nodeDevicePinConfigTable,3+J17+(IF(B17="IN",0,1)*VLOOKUP(H17,nodeDevicePinConfigTable,2,TRUE)),TRUE)</f>
        <v>A2</v>
      </c>
      <c r="L17" s="15" t="str">
        <f t="shared" ref="L17:L80" si="14">VLOOKUP(H17,nodeJMRIPinConfigTable,3+J17+(IF(B17="IN",0,1)*VLOOKUP(H17,nodeJMRIPinConfigTable,2,TRUE)),TRUE)</f>
        <v>CSn001</v>
      </c>
      <c r="M17" s="15" t="str">
        <f t="shared" ref="M17:M80" ca="1" si="15">CONCATENATE(LEFT(L17,2),$D$5*1000+VALUE(RIGHT(L17,3)+I17))</f>
        <v>CS1001</v>
      </c>
      <c r="N17" s="226" t="s">
        <v>671</v>
      </c>
      <c r="O17" s="226" t="s">
        <v>688</v>
      </c>
      <c r="P17" s="320" t="s">
        <v>714</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1:62" x14ac:dyDescent="0.2">
      <c r="A18" s="147"/>
      <c r="B18" s="152" t="s">
        <v>46</v>
      </c>
      <c r="C18" s="230" t="s">
        <v>703</v>
      </c>
      <c r="D18" s="230" t="s">
        <v>786</v>
      </c>
      <c r="E18" s="315" t="str">
        <f t="shared" ref="E18:E81" si="16">IF(P18="-",P18,_xlfn.CONCAT(C18,":",P18))</f>
        <v>CTC_SINGLE_TRACK:OME:TS2</v>
      </c>
      <c r="F18" s="230" t="s">
        <v>74</v>
      </c>
      <c r="G18" s="230" t="s">
        <v>783</v>
      </c>
      <c r="H18" s="230" t="s">
        <v>54</v>
      </c>
      <c r="I18" s="10">
        <f t="shared" ref="I18:I32" si="17">IF(LEFT(H18,4)="BASE",0,IF(LEFT(H18,3)="IOX", VALUE(MID(H18,4,2))*VALUE(RIGHT(H18,1)),0))</f>
        <v>0</v>
      </c>
      <c r="J18" s="6">
        <f t="shared" si="12"/>
        <v>2</v>
      </c>
      <c r="K18" s="16" t="str">
        <f t="shared" si="13"/>
        <v>A3</v>
      </c>
      <c r="L18" s="16" t="str">
        <f t="shared" si="14"/>
        <v>CSn002</v>
      </c>
      <c r="M18" s="16" t="str">
        <f t="shared" ca="1" si="15"/>
        <v>CS1002</v>
      </c>
      <c r="N18" s="227" t="s">
        <v>672</v>
      </c>
      <c r="O18" s="227" t="s">
        <v>689</v>
      </c>
      <c r="P18" s="315" t="s">
        <v>715</v>
      </c>
    </row>
    <row r="19" spans="1:62" x14ac:dyDescent="0.2">
      <c r="A19" s="147"/>
      <c r="B19" s="152" t="s">
        <v>46</v>
      </c>
      <c r="C19" s="230" t="s">
        <v>135</v>
      </c>
      <c r="D19" s="230" t="s">
        <v>135</v>
      </c>
      <c r="E19" s="315" t="str">
        <f t="shared" si="16"/>
        <v>Unassigned:</v>
      </c>
      <c r="F19" s="230" t="s">
        <v>74</v>
      </c>
      <c r="G19" s="230"/>
      <c r="H19" s="230" t="s">
        <v>54</v>
      </c>
      <c r="I19" s="10">
        <f t="shared" si="17"/>
        <v>0</v>
      </c>
      <c r="J19" s="6">
        <f t="shared" si="12"/>
        <v>3</v>
      </c>
      <c r="K19" s="16" t="str">
        <f t="shared" si="13"/>
        <v>A4</v>
      </c>
      <c r="L19" s="16" t="str">
        <f t="shared" si="14"/>
        <v>CSn003</v>
      </c>
      <c r="M19" s="16" t="str">
        <f t="shared" ca="1" si="15"/>
        <v>CS1003</v>
      </c>
      <c r="N19" s="227"/>
      <c r="O19" s="227"/>
      <c r="P19" s="315"/>
    </row>
    <row r="20" spans="1:62" ht="16" thickBot="1" x14ac:dyDescent="0.25">
      <c r="A20" s="147"/>
      <c r="B20" s="136" t="s">
        <v>46</v>
      </c>
      <c r="C20" s="137" t="s">
        <v>135</v>
      </c>
      <c r="D20" s="137" t="s">
        <v>135</v>
      </c>
      <c r="E20" s="317" t="str">
        <f t="shared" si="16"/>
        <v>Unassigned:</v>
      </c>
      <c r="F20" s="137" t="s">
        <v>74</v>
      </c>
      <c r="G20" s="137"/>
      <c r="H20" s="137" t="s">
        <v>54</v>
      </c>
      <c r="I20" s="12">
        <f t="shared" ref="I20" si="18">IF(LEFT(H20,4)="BASE",0,IF(LEFT(H20,3)="IOX", VALUE(MID(H20,4,2))*VALUE(RIGHT(H20,1)),0))</f>
        <v>0</v>
      </c>
      <c r="J20" s="7">
        <f t="shared" ref="J20" si="19">IF(AND(H20=H19,B20=B19), J19+1,1)</f>
        <v>4</v>
      </c>
      <c r="K20" s="19" t="str">
        <f t="shared" ref="K20" si="20">VLOOKUP(H20,nodeDevicePinConfigTable,3+J20+(IF(B20="IN",0,1)*VLOOKUP(H20,nodeDevicePinConfigTable,2,TRUE)),TRUE)</f>
        <v>A5</v>
      </c>
      <c r="L20" s="19" t="str">
        <f t="shared" ref="L20" si="21">VLOOKUP(H20,nodeJMRIPinConfigTable,3+J20+(IF(B20="IN",0,1)*VLOOKUP(H20,nodeJMRIPinConfigTable,2,TRUE)),TRUE)</f>
        <v>CSn004</v>
      </c>
      <c r="M20" s="19" t="str">
        <f t="shared" ref="M20" ca="1" si="22">CONCATENATE(LEFT(L20,2),$D$5*1000+VALUE(RIGHT(L20,3)+I20))</f>
        <v>CS1004</v>
      </c>
      <c r="N20" s="228"/>
      <c r="O20" s="228"/>
      <c r="P20" s="317"/>
    </row>
    <row r="21" spans="1:62" x14ac:dyDescent="0.2">
      <c r="A21" s="147"/>
      <c r="B21" s="152" t="s">
        <v>50</v>
      </c>
      <c r="C21" s="311" t="s">
        <v>703</v>
      </c>
      <c r="D21" s="256" t="s">
        <v>713</v>
      </c>
      <c r="E21" s="315" t="str">
        <f t="shared" si="16"/>
        <v>CTC_SINGLE_TRACK:OME:DBL:HEAD0:RED</v>
      </c>
      <c r="F21" s="230" t="s">
        <v>74</v>
      </c>
      <c r="G21" s="230" t="s">
        <v>783</v>
      </c>
      <c r="H21" s="230" t="s">
        <v>54</v>
      </c>
      <c r="I21" s="10">
        <f t="shared" si="17"/>
        <v>0</v>
      </c>
      <c r="J21" s="6">
        <f t="shared" si="12"/>
        <v>1</v>
      </c>
      <c r="K21" s="16" t="str">
        <f t="shared" si="13"/>
        <v>D4</v>
      </c>
      <c r="L21" s="16" t="str">
        <f t="shared" si="14"/>
        <v>CTn001</v>
      </c>
      <c r="M21" s="16" t="str">
        <f t="shared" ca="1" si="15"/>
        <v>CT1001</v>
      </c>
      <c r="N21" s="227" t="s">
        <v>673</v>
      </c>
      <c r="O21" s="227" t="s">
        <v>689</v>
      </c>
      <c r="P21" s="315" t="s">
        <v>722</v>
      </c>
    </row>
    <row r="22" spans="1:62" s="4" customFormat="1" ht="16" thickBot="1" x14ac:dyDescent="0.25">
      <c r="A22" s="147"/>
      <c r="B22" s="152" t="s">
        <v>50</v>
      </c>
      <c r="C22" s="230" t="s">
        <v>703</v>
      </c>
      <c r="D22" s="230" t="s">
        <v>713</v>
      </c>
      <c r="E22" s="315" t="str">
        <f t="shared" si="16"/>
        <v>CTC_SINGLE_TRACK:OME:DBL:HEAD0:YEL</v>
      </c>
      <c r="F22" s="230" t="s">
        <v>74</v>
      </c>
      <c r="G22" s="230" t="s">
        <v>783</v>
      </c>
      <c r="H22" s="230" t="s">
        <v>54</v>
      </c>
      <c r="I22" s="10">
        <f t="shared" si="17"/>
        <v>0</v>
      </c>
      <c r="J22" s="6">
        <f t="shared" si="12"/>
        <v>2</v>
      </c>
      <c r="K22" s="16" t="str">
        <f t="shared" si="13"/>
        <v>D5</v>
      </c>
      <c r="L22" s="16" t="str">
        <f t="shared" si="14"/>
        <v>CTn002</v>
      </c>
      <c r="M22" s="16" t="str">
        <f t="shared" ca="1" si="15"/>
        <v>CT1002</v>
      </c>
      <c r="N22" s="227" t="s">
        <v>674</v>
      </c>
      <c r="O22" s="227" t="s">
        <v>692</v>
      </c>
      <c r="P22" s="315" t="s">
        <v>723</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1:62" s="3" customFormat="1" x14ac:dyDescent="0.2">
      <c r="A23" s="147"/>
      <c r="B23" s="152" t="s">
        <v>50</v>
      </c>
      <c r="C23" s="230" t="s">
        <v>703</v>
      </c>
      <c r="D23" s="230" t="s">
        <v>713</v>
      </c>
      <c r="E23" s="315" t="str">
        <f t="shared" si="16"/>
        <v>CTC_SINGLE_TRACK:OME:DBL:HEAD0:GRN</v>
      </c>
      <c r="F23" s="230" t="s">
        <v>74</v>
      </c>
      <c r="G23" s="230" t="s">
        <v>783</v>
      </c>
      <c r="H23" s="230" t="s">
        <v>54</v>
      </c>
      <c r="I23" s="10">
        <f t="shared" si="17"/>
        <v>0</v>
      </c>
      <c r="J23" s="6">
        <f t="shared" si="12"/>
        <v>3</v>
      </c>
      <c r="K23" s="16" t="str">
        <f t="shared" si="13"/>
        <v>D6</v>
      </c>
      <c r="L23" s="16" t="str">
        <f t="shared" si="14"/>
        <v>CTn003</v>
      </c>
      <c r="M23" s="16" t="str">
        <f t="shared" ca="1" si="15"/>
        <v>CT1003</v>
      </c>
      <c r="N23" s="227" t="s">
        <v>675</v>
      </c>
      <c r="O23" s="227" t="s">
        <v>693</v>
      </c>
      <c r="P23" s="315" t="s">
        <v>721</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1:62" x14ac:dyDescent="0.2">
      <c r="A24" s="147"/>
      <c r="B24" s="152" t="s">
        <v>50</v>
      </c>
      <c r="C24" s="230" t="s">
        <v>703</v>
      </c>
      <c r="D24" s="230" t="s">
        <v>713</v>
      </c>
      <c r="E24" s="315" t="str">
        <f t="shared" si="16"/>
        <v>CTC_SINGLE_TRACK:OME:DBL:HEAD1:RED</v>
      </c>
      <c r="F24" s="230" t="s">
        <v>74</v>
      </c>
      <c r="G24" s="230" t="s">
        <v>783</v>
      </c>
      <c r="H24" s="230" t="s">
        <v>54</v>
      </c>
      <c r="I24" s="10">
        <f t="shared" si="17"/>
        <v>0</v>
      </c>
      <c r="J24" s="6">
        <f t="shared" si="12"/>
        <v>4</v>
      </c>
      <c r="K24" s="16" t="str">
        <f t="shared" si="13"/>
        <v>D7</v>
      </c>
      <c r="L24" s="16" t="str">
        <f t="shared" si="14"/>
        <v>CTn004</v>
      </c>
      <c r="M24" s="16" t="str">
        <f t="shared" ca="1" si="15"/>
        <v>CT1004</v>
      </c>
      <c r="N24" s="227" t="s">
        <v>676</v>
      </c>
      <c r="O24" s="227" t="s">
        <v>694</v>
      </c>
      <c r="P24" s="315" t="s">
        <v>719</v>
      </c>
    </row>
    <row r="25" spans="1:62" x14ac:dyDescent="0.2">
      <c r="A25" s="147"/>
      <c r="B25" s="152" t="s">
        <v>50</v>
      </c>
      <c r="C25" s="230" t="s">
        <v>703</v>
      </c>
      <c r="D25" s="230" t="s">
        <v>713</v>
      </c>
      <c r="E25" s="315" t="str">
        <f t="shared" si="16"/>
        <v>CTC_SINGLE_TRACK:OME:DBL:HEAD1:YEL</v>
      </c>
      <c r="F25" s="230" t="s">
        <v>74</v>
      </c>
      <c r="G25" s="230" t="s">
        <v>783</v>
      </c>
      <c r="H25" s="230" t="s">
        <v>54</v>
      </c>
      <c r="I25" s="10">
        <f t="shared" si="17"/>
        <v>0</v>
      </c>
      <c r="J25" s="6">
        <f t="shared" si="12"/>
        <v>5</v>
      </c>
      <c r="K25" s="16" t="str">
        <f t="shared" si="13"/>
        <v>D8</v>
      </c>
      <c r="L25" s="16" t="str">
        <f t="shared" si="14"/>
        <v>CTn005</v>
      </c>
      <c r="M25" s="16" t="str">
        <f t="shared" ca="1" si="15"/>
        <v>CT1005</v>
      </c>
      <c r="N25" s="227" t="s">
        <v>677</v>
      </c>
      <c r="O25" s="227" t="s">
        <v>695</v>
      </c>
      <c r="P25" s="315" t="s">
        <v>720</v>
      </c>
    </row>
    <row r="26" spans="1:62" x14ac:dyDescent="0.2">
      <c r="A26" s="147"/>
      <c r="B26" s="152" t="s">
        <v>50</v>
      </c>
      <c r="C26" s="230" t="s">
        <v>703</v>
      </c>
      <c r="D26" s="230" t="s">
        <v>713</v>
      </c>
      <c r="E26" s="315" t="str">
        <f t="shared" si="16"/>
        <v>CTC_SINGLE_TRACK:OME:DBL:HEAD1:GRN</v>
      </c>
      <c r="F26" s="230" t="s">
        <v>74</v>
      </c>
      <c r="G26" s="230" t="s">
        <v>783</v>
      </c>
      <c r="H26" s="230" t="s">
        <v>54</v>
      </c>
      <c r="I26" s="10">
        <f t="shared" si="17"/>
        <v>0</v>
      </c>
      <c r="J26" s="6">
        <f t="shared" si="12"/>
        <v>6</v>
      </c>
      <c r="K26" s="16" t="str">
        <f t="shared" si="13"/>
        <v>D9</v>
      </c>
      <c r="L26" s="16" t="str">
        <f t="shared" si="14"/>
        <v>CTn006</v>
      </c>
      <c r="M26" s="16" t="str">
        <f t="shared" ca="1" si="15"/>
        <v>CT1006</v>
      </c>
      <c r="N26" s="227" t="s">
        <v>678</v>
      </c>
      <c r="O26" s="227" t="s">
        <v>691</v>
      </c>
      <c r="P26" s="315" t="s">
        <v>718</v>
      </c>
    </row>
    <row r="27" spans="1:62" x14ac:dyDescent="0.2">
      <c r="A27" s="147"/>
      <c r="B27" s="152" t="s">
        <v>50</v>
      </c>
      <c r="C27" s="230" t="s">
        <v>703</v>
      </c>
      <c r="D27" s="230" t="s">
        <v>713</v>
      </c>
      <c r="E27" s="315" t="str">
        <f t="shared" si="16"/>
        <v>CTC_SINGLE_TRACK:OMW:DBL:HEAD0:RED</v>
      </c>
      <c r="F27" s="230" t="s">
        <v>74</v>
      </c>
      <c r="G27" s="230" t="s">
        <v>783</v>
      </c>
      <c r="H27" s="230" t="s">
        <v>54</v>
      </c>
      <c r="I27" s="10">
        <f t="shared" si="17"/>
        <v>0</v>
      </c>
      <c r="J27" s="6">
        <f t="shared" si="12"/>
        <v>7</v>
      </c>
      <c r="K27" s="16" t="str">
        <f t="shared" si="13"/>
        <v>D10</v>
      </c>
      <c r="L27" s="16" t="str">
        <f t="shared" si="14"/>
        <v>CTn007</v>
      </c>
      <c r="M27" s="16" t="str">
        <f t="shared" ca="1" si="15"/>
        <v>CT1007</v>
      </c>
      <c r="N27" s="227" t="s">
        <v>679</v>
      </c>
      <c r="O27" s="227" t="s">
        <v>690</v>
      </c>
      <c r="P27" s="315" t="s">
        <v>734</v>
      </c>
    </row>
    <row r="28" spans="1:62" x14ac:dyDescent="0.2">
      <c r="A28" s="147"/>
      <c r="B28" s="152" t="s">
        <v>50</v>
      </c>
      <c r="C28" s="230" t="s">
        <v>703</v>
      </c>
      <c r="D28" s="230" t="s">
        <v>713</v>
      </c>
      <c r="E28" s="315" t="str">
        <f t="shared" si="16"/>
        <v>CTC_SINGLE_TRACK:OMW:DBL:HEAD0:YEL</v>
      </c>
      <c r="F28" s="230" t="s">
        <v>74</v>
      </c>
      <c r="G28" s="230" t="s">
        <v>783</v>
      </c>
      <c r="H28" s="230" t="s">
        <v>54</v>
      </c>
      <c r="I28" s="10">
        <f t="shared" si="17"/>
        <v>0</v>
      </c>
      <c r="J28" s="6">
        <f t="shared" si="12"/>
        <v>8</v>
      </c>
      <c r="K28" s="16" t="str">
        <f t="shared" si="13"/>
        <v>D11</v>
      </c>
      <c r="L28" s="16" t="str">
        <f t="shared" si="14"/>
        <v>CTn008</v>
      </c>
      <c r="M28" s="16" t="str">
        <f t="shared" ca="1" si="15"/>
        <v>CT1008</v>
      </c>
      <c r="N28" s="227" t="s">
        <v>680</v>
      </c>
      <c r="O28" s="227" t="s">
        <v>696</v>
      </c>
      <c r="P28" s="315" t="s">
        <v>735</v>
      </c>
    </row>
    <row r="29" spans="1:62" x14ac:dyDescent="0.2">
      <c r="A29" s="147"/>
      <c r="B29" s="152" t="s">
        <v>50</v>
      </c>
      <c r="C29" s="230" t="s">
        <v>703</v>
      </c>
      <c r="D29" s="230" t="s">
        <v>713</v>
      </c>
      <c r="E29" s="315" t="str">
        <f t="shared" si="16"/>
        <v>CTC_SINGLE_TRACK:OMW:DBL:HEAD0:GRN</v>
      </c>
      <c r="F29" s="230" t="s">
        <v>74</v>
      </c>
      <c r="G29" s="230" t="s">
        <v>783</v>
      </c>
      <c r="H29" s="230" t="s">
        <v>54</v>
      </c>
      <c r="I29" s="10">
        <f t="shared" si="17"/>
        <v>0</v>
      </c>
      <c r="J29" s="6">
        <f t="shared" si="12"/>
        <v>9</v>
      </c>
      <c r="K29" s="16" t="str">
        <f t="shared" si="13"/>
        <v>D12</v>
      </c>
      <c r="L29" s="16" t="str">
        <f t="shared" si="14"/>
        <v>CTn009</v>
      </c>
      <c r="M29" s="16" t="str">
        <f t="shared" ca="1" si="15"/>
        <v>CT1009</v>
      </c>
      <c r="N29" s="227" t="s">
        <v>681</v>
      </c>
      <c r="O29" s="227" t="s">
        <v>688</v>
      </c>
      <c r="P29" s="315" t="s">
        <v>733</v>
      </c>
    </row>
    <row r="30" spans="1:62" x14ac:dyDescent="0.2">
      <c r="A30" s="147"/>
      <c r="B30" s="152" t="s">
        <v>50</v>
      </c>
      <c r="C30" s="230" t="s">
        <v>703</v>
      </c>
      <c r="D30" s="230" t="s">
        <v>713</v>
      </c>
      <c r="E30" s="315" t="str">
        <f t="shared" si="16"/>
        <v>CTC_SINGLE_TRACK:OMW:DBL:HEAD1:RED</v>
      </c>
      <c r="F30" s="230" t="s">
        <v>74</v>
      </c>
      <c r="G30" s="230" t="s">
        <v>783</v>
      </c>
      <c r="H30" s="230" t="s">
        <v>54</v>
      </c>
      <c r="I30" s="10">
        <f t="shared" si="17"/>
        <v>0</v>
      </c>
      <c r="J30" s="6">
        <f t="shared" si="12"/>
        <v>10</v>
      </c>
      <c r="K30" s="16" t="str">
        <f t="shared" si="13"/>
        <v>D13</v>
      </c>
      <c r="L30" s="16" t="str">
        <f t="shared" si="14"/>
        <v>CTn010</v>
      </c>
      <c r="M30" s="16" t="str">
        <f t="shared" ca="1" si="15"/>
        <v>CT1010</v>
      </c>
      <c r="N30" s="227" t="s">
        <v>682</v>
      </c>
      <c r="O30" s="227" t="s">
        <v>697</v>
      </c>
      <c r="P30" s="315" t="s">
        <v>731</v>
      </c>
    </row>
    <row r="31" spans="1:62" x14ac:dyDescent="0.2">
      <c r="A31" s="147"/>
      <c r="B31" s="152" t="s">
        <v>50</v>
      </c>
      <c r="C31" s="230" t="s">
        <v>703</v>
      </c>
      <c r="D31" s="230" t="s">
        <v>713</v>
      </c>
      <c r="E31" s="315" t="str">
        <f t="shared" si="16"/>
        <v>CTC_SINGLE_TRACK:OMW:DBL:HEAD1:YEL</v>
      </c>
      <c r="F31" s="230" t="s">
        <v>74</v>
      </c>
      <c r="G31" s="230" t="s">
        <v>783</v>
      </c>
      <c r="H31" s="230" t="s">
        <v>54</v>
      </c>
      <c r="I31" s="10">
        <f t="shared" si="17"/>
        <v>0</v>
      </c>
      <c r="J31" s="6">
        <f t="shared" si="12"/>
        <v>11</v>
      </c>
      <c r="K31" s="16" t="str">
        <f t="shared" si="13"/>
        <v>A0</v>
      </c>
      <c r="L31" s="16" t="str">
        <f t="shared" si="14"/>
        <v>CTn011</v>
      </c>
      <c r="M31" s="16" t="str">
        <f t="shared" ca="1" si="15"/>
        <v>CT1011</v>
      </c>
      <c r="N31" s="227" t="s">
        <v>683</v>
      </c>
      <c r="O31" s="227" t="s">
        <v>689</v>
      </c>
      <c r="P31" s="315" t="s">
        <v>732</v>
      </c>
    </row>
    <row r="32" spans="1:62" ht="16" thickBot="1" x14ac:dyDescent="0.25">
      <c r="A32" s="151"/>
      <c r="B32" s="136" t="s">
        <v>50</v>
      </c>
      <c r="C32" s="137" t="s">
        <v>703</v>
      </c>
      <c r="D32" s="230" t="s">
        <v>713</v>
      </c>
      <c r="E32" s="317" t="str">
        <f t="shared" si="16"/>
        <v>CTC_SINGLE_TRACK:OMW:DBL:HEAD1:GRN</v>
      </c>
      <c r="F32" s="137" t="s">
        <v>74</v>
      </c>
      <c r="G32" s="137" t="s">
        <v>783</v>
      </c>
      <c r="H32" s="137" t="s">
        <v>54</v>
      </c>
      <c r="I32" s="12">
        <f t="shared" si="17"/>
        <v>0</v>
      </c>
      <c r="J32" s="7">
        <f t="shared" si="12"/>
        <v>12</v>
      </c>
      <c r="K32" s="19" t="str">
        <f t="shared" si="13"/>
        <v>A1</v>
      </c>
      <c r="L32" s="19" t="str">
        <f t="shared" si="14"/>
        <v>CTn012</v>
      </c>
      <c r="M32" s="19" t="str">
        <f t="shared" ca="1" si="15"/>
        <v>CT1012</v>
      </c>
      <c r="N32" s="228" t="s">
        <v>684</v>
      </c>
      <c r="O32" s="228" t="s">
        <v>692</v>
      </c>
      <c r="P32" s="317" t="s">
        <v>730</v>
      </c>
    </row>
    <row r="33" spans="2:16" x14ac:dyDescent="0.2">
      <c r="B33" s="255" t="s">
        <v>50</v>
      </c>
      <c r="C33" s="256" t="s">
        <v>135</v>
      </c>
      <c r="D33" s="256" t="s">
        <v>135</v>
      </c>
      <c r="E33" s="320" t="str">
        <f t="shared" si="16"/>
        <v>-</v>
      </c>
      <c r="F33" s="256" t="s">
        <v>74</v>
      </c>
      <c r="G33" s="325"/>
      <c r="H33" s="256" t="s">
        <v>74</v>
      </c>
      <c r="I33" s="254">
        <v>0</v>
      </c>
      <c r="J33" s="5">
        <f t="shared" si="12"/>
        <v>1</v>
      </c>
      <c r="K33" s="15" t="e">
        <f t="shared" si="13"/>
        <v>#N/A</v>
      </c>
      <c r="L33" s="15" t="e">
        <f t="shared" si="14"/>
        <v>#N/A</v>
      </c>
      <c r="M33" s="15" t="e">
        <f t="shared" ca="1" si="15"/>
        <v>#N/A</v>
      </c>
      <c r="N33" s="226"/>
      <c r="O33" s="226"/>
      <c r="P33" s="226" t="s">
        <v>74</v>
      </c>
    </row>
    <row r="34" spans="2:16" x14ac:dyDescent="0.2">
      <c r="B34" s="152" t="s">
        <v>50</v>
      </c>
      <c r="C34" s="230" t="s">
        <v>135</v>
      </c>
      <c r="D34" s="230" t="s">
        <v>135</v>
      </c>
      <c r="E34" s="315" t="str">
        <f t="shared" si="16"/>
        <v>-</v>
      </c>
      <c r="F34" s="230" t="s">
        <v>74</v>
      </c>
      <c r="G34" s="230"/>
      <c r="H34" s="230" t="s">
        <v>74</v>
      </c>
      <c r="I34" s="10">
        <v>0</v>
      </c>
      <c r="J34" s="6">
        <f t="shared" si="12"/>
        <v>2</v>
      </c>
      <c r="K34" s="16" t="e">
        <f t="shared" si="13"/>
        <v>#N/A</v>
      </c>
      <c r="L34" s="16" t="e">
        <f t="shared" si="14"/>
        <v>#N/A</v>
      </c>
      <c r="M34" s="16" t="e">
        <f t="shared" ca="1" si="15"/>
        <v>#N/A</v>
      </c>
      <c r="N34" s="227"/>
      <c r="O34" s="227"/>
      <c r="P34" s="227" t="s">
        <v>74</v>
      </c>
    </row>
    <row r="35" spans="2:16" x14ac:dyDescent="0.2">
      <c r="B35" s="152" t="s">
        <v>50</v>
      </c>
      <c r="C35" s="230" t="s">
        <v>135</v>
      </c>
      <c r="D35" s="230" t="s">
        <v>135</v>
      </c>
      <c r="E35" s="315" t="str">
        <f t="shared" si="16"/>
        <v>-</v>
      </c>
      <c r="F35" s="230" t="s">
        <v>74</v>
      </c>
      <c r="G35" s="230"/>
      <c r="H35" s="230" t="s">
        <v>74</v>
      </c>
      <c r="I35" s="10">
        <v>0</v>
      </c>
      <c r="J35" s="6">
        <f t="shared" si="12"/>
        <v>3</v>
      </c>
      <c r="K35" s="16" t="e">
        <f t="shared" si="13"/>
        <v>#N/A</v>
      </c>
      <c r="L35" s="16" t="e">
        <f t="shared" si="14"/>
        <v>#N/A</v>
      </c>
      <c r="M35" s="16" t="e">
        <f t="shared" ca="1" si="15"/>
        <v>#N/A</v>
      </c>
      <c r="N35" s="227"/>
      <c r="O35" s="227"/>
      <c r="P35" s="227" t="s">
        <v>74</v>
      </c>
    </row>
    <row r="36" spans="2:16" x14ac:dyDescent="0.2">
      <c r="B36" s="152" t="s">
        <v>50</v>
      </c>
      <c r="C36" s="230" t="s">
        <v>135</v>
      </c>
      <c r="D36" s="230" t="s">
        <v>135</v>
      </c>
      <c r="E36" s="315" t="str">
        <f t="shared" si="16"/>
        <v>-</v>
      </c>
      <c r="F36" s="230" t="s">
        <v>74</v>
      </c>
      <c r="G36" s="230"/>
      <c r="H36" s="230" t="s">
        <v>74</v>
      </c>
      <c r="I36" s="10">
        <v>0</v>
      </c>
      <c r="J36" s="6">
        <f t="shared" si="12"/>
        <v>4</v>
      </c>
      <c r="K36" s="16" t="e">
        <f t="shared" si="13"/>
        <v>#N/A</v>
      </c>
      <c r="L36" s="16" t="e">
        <f t="shared" si="14"/>
        <v>#N/A</v>
      </c>
      <c r="M36" s="16" t="e">
        <f t="shared" ca="1" si="15"/>
        <v>#N/A</v>
      </c>
      <c r="N36" s="227"/>
      <c r="O36" s="227"/>
      <c r="P36" s="227" t="s">
        <v>74</v>
      </c>
    </row>
    <row r="37" spans="2:16" x14ac:dyDescent="0.2">
      <c r="B37" s="152" t="s">
        <v>50</v>
      </c>
      <c r="C37" s="230" t="s">
        <v>135</v>
      </c>
      <c r="D37" s="230" t="s">
        <v>135</v>
      </c>
      <c r="E37" s="315" t="str">
        <f t="shared" si="16"/>
        <v>-</v>
      </c>
      <c r="F37" s="230" t="s">
        <v>74</v>
      </c>
      <c r="G37" s="230"/>
      <c r="H37" s="230" t="s">
        <v>74</v>
      </c>
      <c r="I37" s="10">
        <v>0</v>
      </c>
      <c r="J37" s="6">
        <f t="shared" si="12"/>
        <v>5</v>
      </c>
      <c r="K37" s="16" t="e">
        <f t="shared" si="13"/>
        <v>#N/A</v>
      </c>
      <c r="L37" s="16" t="e">
        <f t="shared" si="14"/>
        <v>#N/A</v>
      </c>
      <c r="M37" s="16" t="e">
        <f t="shared" ca="1" si="15"/>
        <v>#N/A</v>
      </c>
      <c r="N37" s="227"/>
      <c r="O37" s="227"/>
      <c r="P37" s="227" t="s">
        <v>74</v>
      </c>
    </row>
    <row r="38" spans="2:16" x14ac:dyDescent="0.2">
      <c r="B38" s="152" t="s">
        <v>50</v>
      </c>
      <c r="C38" s="230" t="s">
        <v>135</v>
      </c>
      <c r="D38" s="230" t="s">
        <v>135</v>
      </c>
      <c r="E38" s="315" t="str">
        <f t="shared" si="16"/>
        <v>-</v>
      </c>
      <c r="F38" s="230" t="s">
        <v>74</v>
      </c>
      <c r="G38" s="230"/>
      <c r="H38" s="230" t="s">
        <v>74</v>
      </c>
      <c r="I38" s="10">
        <v>0</v>
      </c>
      <c r="J38" s="6">
        <f t="shared" si="12"/>
        <v>6</v>
      </c>
      <c r="K38" s="16" t="e">
        <f t="shared" si="13"/>
        <v>#N/A</v>
      </c>
      <c r="L38" s="16" t="e">
        <f t="shared" si="14"/>
        <v>#N/A</v>
      </c>
      <c r="M38" s="16" t="e">
        <f t="shared" ca="1" si="15"/>
        <v>#N/A</v>
      </c>
      <c r="N38" s="227"/>
      <c r="O38" s="227"/>
      <c r="P38" s="227" t="s">
        <v>74</v>
      </c>
    </row>
    <row r="39" spans="2:16" x14ac:dyDescent="0.2">
      <c r="B39" s="152" t="s">
        <v>50</v>
      </c>
      <c r="C39" s="230" t="s">
        <v>135</v>
      </c>
      <c r="D39" s="230" t="s">
        <v>135</v>
      </c>
      <c r="E39" s="315" t="str">
        <f t="shared" si="16"/>
        <v>-</v>
      </c>
      <c r="F39" s="230" t="s">
        <v>74</v>
      </c>
      <c r="G39" s="230"/>
      <c r="H39" s="230" t="s">
        <v>74</v>
      </c>
      <c r="I39" s="10">
        <v>0</v>
      </c>
      <c r="J39" s="6">
        <f t="shared" si="12"/>
        <v>7</v>
      </c>
      <c r="K39" s="16" t="e">
        <f t="shared" si="13"/>
        <v>#N/A</v>
      </c>
      <c r="L39" s="16" t="e">
        <f t="shared" si="14"/>
        <v>#N/A</v>
      </c>
      <c r="M39" s="16" t="e">
        <f t="shared" ca="1" si="15"/>
        <v>#N/A</v>
      </c>
      <c r="N39" s="227"/>
      <c r="O39" s="227"/>
      <c r="P39" s="227" t="s">
        <v>74</v>
      </c>
    </row>
    <row r="40" spans="2:16" x14ac:dyDescent="0.2">
      <c r="B40" s="152" t="s">
        <v>50</v>
      </c>
      <c r="C40" s="230" t="s">
        <v>135</v>
      </c>
      <c r="D40" s="230" t="s">
        <v>135</v>
      </c>
      <c r="E40" s="315" t="str">
        <f t="shared" si="16"/>
        <v>-</v>
      </c>
      <c r="F40" s="230" t="s">
        <v>74</v>
      </c>
      <c r="G40" s="230"/>
      <c r="H40" s="230" t="s">
        <v>74</v>
      </c>
      <c r="I40" s="10">
        <v>0</v>
      </c>
      <c r="J40" s="6">
        <f t="shared" si="12"/>
        <v>8</v>
      </c>
      <c r="K40" s="16" t="e">
        <f t="shared" si="13"/>
        <v>#N/A</v>
      </c>
      <c r="L40" s="16" t="e">
        <f t="shared" si="14"/>
        <v>#N/A</v>
      </c>
      <c r="M40" s="16" t="e">
        <f t="shared" ca="1" si="15"/>
        <v>#N/A</v>
      </c>
      <c r="N40" s="227"/>
      <c r="O40" s="227"/>
      <c r="P40" s="227" t="s">
        <v>74</v>
      </c>
    </row>
    <row r="41" spans="2:16" x14ac:dyDescent="0.2">
      <c r="B41" s="152" t="s">
        <v>50</v>
      </c>
      <c r="C41" s="230" t="s">
        <v>135</v>
      </c>
      <c r="D41" s="230" t="s">
        <v>135</v>
      </c>
      <c r="E41" s="315" t="str">
        <f t="shared" si="16"/>
        <v>-</v>
      </c>
      <c r="F41" s="230" t="s">
        <v>74</v>
      </c>
      <c r="G41" s="230"/>
      <c r="H41" s="230" t="s">
        <v>74</v>
      </c>
      <c r="I41" s="10">
        <v>0</v>
      </c>
      <c r="J41" s="6">
        <f t="shared" si="12"/>
        <v>9</v>
      </c>
      <c r="K41" s="16" t="e">
        <f t="shared" si="13"/>
        <v>#N/A</v>
      </c>
      <c r="L41" s="16" t="e">
        <f t="shared" si="14"/>
        <v>#N/A</v>
      </c>
      <c r="M41" s="16" t="e">
        <f t="shared" ca="1" si="15"/>
        <v>#N/A</v>
      </c>
      <c r="N41" s="227"/>
      <c r="O41" s="227"/>
      <c r="P41" s="227" t="s">
        <v>74</v>
      </c>
    </row>
    <row r="42" spans="2:16" x14ac:dyDescent="0.2">
      <c r="B42" s="152" t="s">
        <v>50</v>
      </c>
      <c r="C42" s="230" t="s">
        <v>135</v>
      </c>
      <c r="D42" s="230" t="s">
        <v>135</v>
      </c>
      <c r="E42" s="315" t="str">
        <f t="shared" si="16"/>
        <v>-</v>
      </c>
      <c r="F42" s="230" t="s">
        <v>74</v>
      </c>
      <c r="G42" s="230"/>
      <c r="H42" s="230" t="s">
        <v>74</v>
      </c>
      <c r="I42" s="10">
        <v>0</v>
      </c>
      <c r="J42" s="6">
        <f t="shared" si="12"/>
        <v>10</v>
      </c>
      <c r="K42" s="16" t="e">
        <f t="shared" si="13"/>
        <v>#N/A</v>
      </c>
      <c r="L42" s="16" t="e">
        <f t="shared" si="14"/>
        <v>#N/A</v>
      </c>
      <c r="M42" s="16" t="e">
        <f t="shared" ca="1" si="15"/>
        <v>#N/A</v>
      </c>
      <c r="N42" s="227"/>
      <c r="O42" s="227"/>
      <c r="P42" s="227" t="s">
        <v>74</v>
      </c>
    </row>
    <row r="43" spans="2:16" x14ac:dyDescent="0.2">
      <c r="B43" s="152" t="s">
        <v>50</v>
      </c>
      <c r="C43" s="230" t="s">
        <v>135</v>
      </c>
      <c r="D43" s="230" t="s">
        <v>135</v>
      </c>
      <c r="E43" s="315" t="str">
        <f t="shared" si="16"/>
        <v>-</v>
      </c>
      <c r="F43" s="230" t="s">
        <v>74</v>
      </c>
      <c r="G43" s="230"/>
      <c r="H43" s="230" t="s">
        <v>74</v>
      </c>
      <c r="I43" s="10">
        <v>0</v>
      </c>
      <c r="J43" s="6">
        <f t="shared" si="12"/>
        <v>11</v>
      </c>
      <c r="K43" s="16" t="e">
        <f t="shared" si="13"/>
        <v>#N/A</v>
      </c>
      <c r="L43" s="16" t="e">
        <f t="shared" si="14"/>
        <v>#N/A</v>
      </c>
      <c r="M43" s="16" t="e">
        <f t="shared" ca="1" si="15"/>
        <v>#N/A</v>
      </c>
      <c r="N43" s="227"/>
      <c r="O43" s="227"/>
      <c r="P43" s="227" t="s">
        <v>74</v>
      </c>
    </row>
    <row r="44" spans="2:16" x14ac:dyDescent="0.2">
      <c r="B44" s="152" t="s">
        <v>50</v>
      </c>
      <c r="C44" s="230" t="s">
        <v>135</v>
      </c>
      <c r="D44" s="230" t="s">
        <v>135</v>
      </c>
      <c r="E44" s="315" t="str">
        <f t="shared" si="16"/>
        <v>-</v>
      </c>
      <c r="F44" s="230" t="s">
        <v>74</v>
      </c>
      <c r="G44" s="230"/>
      <c r="H44" s="230" t="s">
        <v>74</v>
      </c>
      <c r="I44" s="10">
        <v>0</v>
      </c>
      <c r="J44" s="6">
        <f t="shared" si="12"/>
        <v>12</v>
      </c>
      <c r="K44" s="16" t="e">
        <f t="shared" si="13"/>
        <v>#N/A</v>
      </c>
      <c r="L44" s="16" t="e">
        <f t="shared" si="14"/>
        <v>#N/A</v>
      </c>
      <c r="M44" s="16" t="e">
        <f t="shared" ca="1" si="15"/>
        <v>#N/A</v>
      </c>
      <c r="N44" s="227"/>
      <c r="O44" s="227"/>
      <c r="P44" s="227" t="s">
        <v>74</v>
      </c>
    </row>
    <row r="45" spans="2:16" x14ac:dyDescent="0.2">
      <c r="B45" s="152" t="s">
        <v>50</v>
      </c>
      <c r="C45" s="230" t="s">
        <v>135</v>
      </c>
      <c r="D45" s="230" t="s">
        <v>135</v>
      </c>
      <c r="E45" s="315" t="str">
        <f t="shared" si="16"/>
        <v>-</v>
      </c>
      <c r="F45" s="230" t="s">
        <v>74</v>
      </c>
      <c r="G45" s="230"/>
      <c r="H45" s="230" t="s">
        <v>74</v>
      </c>
      <c r="I45" s="10">
        <v>0</v>
      </c>
      <c r="J45" s="6">
        <f t="shared" si="12"/>
        <v>13</v>
      </c>
      <c r="K45" s="16" t="e">
        <f t="shared" si="13"/>
        <v>#N/A</v>
      </c>
      <c r="L45" s="16" t="e">
        <f t="shared" si="14"/>
        <v>#N/A</v>
      </c>
      <c r="M45" s="16" t="e">
        <f t="shared" ca="1" si="15"/>
        <v>#N/A</v>
      </c>
      <c r="N45" s="227"/>
      <c r="O45" s="227"/>
      <c r="P45" s="227" t="s">
        <v>74</v>
      </c>
    </row>
    <row r="46" spans="2:16" x14ac:dyDescent="0.2">
      <c r="B46" s="152" t="s">
        <v>50</v>
      </c>
      <c r="C46" s="230" t="s">
        <v>135</v>
      </c>
      <c r="D46" s="230" t="s">
        <v>135</v>
      </c>
      <c r="E46" s="315" t="str">
        <f t="shared" si="16"/>
        <v>-</v>
      </c>
      <c r="F46" s="230" t="s">
        <v>74</v>
      </c>
      <c r="G46" s="230"/>
      <c r="H46" s="230" t="s">
        <v>74</v>
      </c>
      <c r="I46" s="10">
        <v>0</v>
      </c>
      <c r="J46" s="6">
        <f t="shared" si="12"/>
        <v>14</v>
      </c>
      <c r="K46" s="16" t="e">
        <f t="shared" si="13"/>
        <v>#N/A</v>
      </c>
      <c r="L46" s="16" t="e">
        <f t="shared" si="14"/>
        <v>#N/A</v>
      </c>
      <c r="M46" s="16" t="e">
        <f t="shared" ca="1" si="15"/>
        <v>#N/A</v>
      </c>
      <c r="N46" s="227"/>
      <c r="O46" s="227"/>
      <c r="P46" s="227" t="s">
        <v>74</v>
      </c>
    </row>
    <row r="47" spans="2:16" x14ac:dyDescent="0.2">
      <c r="B47" s="152" t="s">
        <v>50</v>
      </c>
      <c r="C47" s="230" t="s">
        <v>135</v>
      </c>
      <c r="D47" s="230" t="s">
        <v>135</v>
      </c>
      <c r="E47" s="315" t="str">
        <f t="shared" si="16"/>
        <v>-</v>
      </c>
      <c r="F47" s="230" t="s">
        <v>74</v>
      </c>
      <c r="G47" s="230"/>
      <c r="H47" s="230" t="s">
        <v>74</v>
      </c>
      <c r="I47" s="10">
        <v>0</v>
      </c>
      <c r="J47" s="6">
        <f t="shared" si="12"/>
        <v>15</v>
      </c>
      <c r="K47" s="16" t="e">
        <f t="shared" si="13"/>
        <v>#N/A</v>
      </c>
      <c r="L47" s="16" t="e">
        <f t="shared" si="14"/>
        <v>#N/A</v>
      </c>
      <c r="M47" s="16" t="e">
        <f t="shared" ca="1" si="15"/>
        <v>#N/A</v>
      </c>
      <c r="N47" s="227"/>
      <c r="O47" s="227"/>
      <c r="P47" s="227" t="s">
        <v>74</v>
      </c>
    </row>
    <row r="48" spans="2:16" x14ac:dyDescent="0.2">
      <c r="B48" s="152" t="s">
        <v>50</v>
      </c>
      <c r="C48" s="230" t="s">
        <v>135</v>
      </c>
      <c r="D48" s="230" t="s">
        <v>135</v>
      </c>
      <c r="E48" s="315" t="str">
        <f t="shared" si="16"/>
        <v>-</v>
      </c>
      <c r="F48" s="230" t="s">
        <v>74</v>
      </c>
      <c r="G48" s="230"/>
      <c r="H48" s="230" t="s">
        <v>74</v>
      </c>
      <c r="I48" s="10">
        <v>0</v>
      </c>
      <c r="J48" s="6">
        <f t="shared" si="12"/>
        <v>16</v>
      </c>
      <c r="K48" s="16" t="e">
        <f t="shared" si="13"/>
        <v>#N/A</v>
      </c>
      <c r="L48" s="16" t="e">
        <f t="shared" si="14"/>
        <v>#N/A</v>
      </c>
      <c r="M48" s="16" t="e">
        <f t="shared" ca="1" si="15"/>
        <v>#N/A</v>
      </c>
      <c r="N48" s="227"/>
      <c r="O48" s="227"/>
      <c r="P48" s="227" t="s">
        <v>74</v>
      </c>
    </row>
    <row r="49" spans="2:16" x14ac:dyDescent="0.2">
      <c r="B49" s="152" t="s">
        <v>50</v>
      </c>
      <c r="C49" s="230" t="s">
        <v>135</v>
      </c>
      <c r="D49" s="230" t="s">
        <v>135</v>
      </c>
      <c r="E49" s="315" t="str">
        <f t="shared" si="16"/>
        <v>-</v>
      </c>
      <c r="F49" s="230" t="s">
        <v>74</v>
      </c>
      <c r="G49" s="230"/>
      <c r="H49" s="230" t="s">
        <v>74</v>
      </c>
      <c r="I49" s="10">
        <v>0</v>
      </c>
      <c r="J49" s="6">
        <f t="shared" si="12"/>
        <v>17</v>
      </c>
      <c r="K49" s="16" t="e">
        <f t="shared" si="13"/>
        <v>#N/A</v>
      </c>
      <c r="L49" s="16" t="e">
        <f t="shared" si="14"/>
        <v>#N/A</v>
      </c>
      <c r="M49" s="16" t="e">
        <f t="shared" ca="1" si="15"/>
        <v>#N/A</v>
      </c>
      <c r="N49" s="227"/>
      <c r="O49" s="227"/>
      <c r="P49" s="227" t="s">
        <v>74</v>
      </c>
    </row>
    <row r="50" spans="2:16" x14ac:dyDescent="0.2">
      <c r="B50" s="152" t="s">
        <v>50</v>
      </c>
      <c r="C50" s="230" t="s">
        <v>135</v>
      </c>
      <c r="D50" s="230" t="s">
        <v>135</v>
      </c>
      <c r="E50" s="315" t="str">
        <f t="shared" si="16"/>
        <v>-</v>
      </c>
      <c r="F50" s="230" t="s">
        <v>74</v>
      </c>
      <c r="G50" s="230"/>
      <c r="H50" s="230" t="s">
        <v>74</v>
      </c>
      <c r="I50" s="10">
        <v>0</v>
      </c>
      <c r="J50" s="6">
        <f t="shared" si="12"/>
        <v>18</v>
      </c>
      <c r="K50" s="16" t="e">
        <f t="shared" si="13"/>
        <v>#N/A</v>
      </c>
      <c r="L50" s="16" t="e">
        <f t="shared" si="14"/>
        <v>#N/A</v>
      </c>
      <c r="M50" s="16" t="e">
        <f t="shared" ca="1" si="15"/>
        <v>#N/A</v>
      </c>
      <c r="N50" s="227"/>
      <c r="O50" s="227"/>
      <c r="P50" s="227" t="s">
        <v>74</v>
      </c>
    </row>
    <row r="51" spans="2:16" x14ac:dyDescent="0.2">
      <c r="B51" s="152" t="s">
        <v>50</v>
      </c>
      <c r="C51" s="230" t="s">
        <v>135</v>
      </c>
      <c r="D51" s="230" t="s">
        <v>135</v>
      </c>
      <c r="E51" s="315" t="str">
        <f t="shared" si="16"/>
        <v>-</v>
      </c>
      <c r="F51" s="230" t="s">
        <v>74</v>
      </c>
      <c r="G51" s="230"/>
      <c r="H51" s="230" t="s">
        <v>74</v>
      </c>
      <c r="I51" s="10">
        <v>0</v>
      </c>
      <c r="J51" s="6">
        <f t="shared" si="12"/>
        <v>19</v>
      </c>
      <c r="K51" s="16" t="e">
        <f t="shared" si="13"/>
        <v>#N/A</v>
      </c>
      <c r="L51" s="16" t="e">
        <f t="shared" si="14"/>
        <v>#N/A</v>
      </c>
      <c r="M51" s="16" t="e">
        <f t="shared" ca="1" si="15"/>
        <v>#N/A</v>
      </c>
      <c r="N51" s="227"/>
      <c r="O51" s="227"/>
      <c r="P51" s="227" t="s">
        <v>74</v>
      </c>
    </row>
    <row r="52" spans="2:16" x14ac:dyDescent="0.2">
      <c r="B52" s="152" t="s">
        <v>50</v>
      </c>
      <c r="C52" s="230" t="s">
        <v>135</v>
      </c>
      <c r="D52" s="230" t="s">
        <v>135</v>
      </c>
      <c r="E52" s="315" t="str">
        <f t="shared" si="16"/>
        <v>-</v>
      </c>
      <c r="F52" s="230" t="s">
        <v>74</v>
      </c>
      <c r="G52" s="230"/>
      <c r="H52" s="230" t="s">
        <v>74</v>
      </c>
      <c r="I52" s="10">
        <v>0</v>
      </c>
      <c r="J52" s="6">
        <f t="shared" si="12"/>
        <v>20</v>
      </c>
      <c r="K52" s="16" t="e">
        <f t="shared" si="13"/>
        <v>#N/A</v>
      </c>
      <c r="L52" s="16" t="e">
        <f t="shared" si="14"/>
        <v>#N/A</v>
      </c>
      <c r="M52" s="16" t="e">
        <f t="shared" ca="1" si="15"/>
        <v>#N/A</v>
      </c>
      <c r="N52" s="227"/>
      <c r="O52" s="227"/>
      <c r="P52" s="227" t="s">
        <v>74</v>
      </c>
    </row>
    <row r="53" spans="2:16" x14ac:dyDescent="0.2">
      <c r="B53" s="152" t="s">
        <v>50</v>
      </c>
      <c r="C53" s="230" t="s">
        <v>135</v>
      </c>
      <c r="D53" s="230" t="s">
        <v>135</v>
      </c>
      <c r="E53" s="315" t="str">
        <f t="shared" si="16"/>
        <v>-</v>
      </c>
      <c r="F53" s="230" t="s">
        <v>74</v>
      </c>
      <c r="G53" s="230"/>
      <c r="H53" s="230" t="s">
        <v>74</v>
      </c>
      <c r="I53" s="10">
        <v>0</v>
      </c>
      <c r="J53" s="6">
        <f t="shared" si="12"/>
        <v>21</v>
      </c>
      <c r="K53" s="16" t="e">
        <f t="shared" si="13"/>
        <v>#N/A</v>
      </c>
      <c r="L53" s="16" t="e">
        <f t="shared" si="14"/>
        <v>#N/A</v>
      </c>
      <c r="M53" s="16" t="e">
        <f t="shared" ca="1" si="15"/>
        <v>#N/A</v>
      </c>
      <c r="N53" s="227"/>
      <c r="O53" s="227"/>
      <c r="P53" s="227" t="s">
        <v>74</v>
      </c>
    </row>
    <row r="54" spans="2:16" x14ac:dyDescent="0.2">
      <c r="B54" s="152" t="s">
        <v>50</v>
      </c>
      <c r="C54" s="230" t="s">
        <v>135</v>
      </c>
      <c r="D54" s="230" t="s">
        <v>135</v>
      </c>
      <c r="E54" s="315" t="str">
        <f t="shared" si="16"/>
        <v>-</v>
      </c>
      <c r="F54" s="230" t="s">
        <v>74</v>
      </c>
      <c r="G54" s="230"/>
      <c r="H54" s="230" t="s">
        <v>74</v>
      </c>
      <c r="I54" s="10">
        <v>0</v>
      </c>
      <c r="J54" s="6">
        <f t="shared" si="12"/>
        <v>22</v>
      </c>
      <c r="K54" s="16" t="e">
        <f t="shared" si="13"/>
        <v>#N/A</v>
      </c>
      <c r="L54" s="16" t="e">
        <f t="shared" si="14"/>
        <v>#N/A</v>
      </c>
      <c r="M54" s="16" t="e">
        <f t="shared" ca="1" si="15"/>
        <v>#N/A</v>
      </c>
      <c r="N54" s="227"/>
      <c r="O54" s="227"/>
      <c r="P54" s="227" t="s">
        <v>74</v>
      </c>
    </row>
    <row r="55" spans="2:16" x14ac:dyDescent="0.2">
      <c r="B55" s="152" t="s">
        <v>50</v>
      </c>
      <c r="C55" s="230" t="s">
        <v>135</v>
      </c>
      <c r="D55" s="230" t="s">
        <v>135</v>
      </c>
      <c r="E55" s="315" t="str">
        <f t="shared" si="16"/>
        <v>-</v>
      </c>
      <c r="F55" s="230" t="s">
        <v>74</v>
      </c>
      <c r="G55" s="230"/>
      <c r="H55" s="230" t="s">
        <v>74</v>
      </c>
      <c r="I55" s="10">
        <v>0</v>
      </c>
      <c r="J55" s="6">
        <f t="shared" si="12"/>
        <v>23</v>
      </c>
      <c r="K55" s="16" t="e">
        <f t="shared" si="13"/>
        <v>#N/A</v>
      </c>
      <c r="L55" s="16" t="e">
        <f t="shared" si="14"/>
        <v>#N/A</v>
      </c>
      <c r="M55" s="16" t="e">
        <f t="shared" ca="1" si="15"/>
        <v>#N/A</v>
      </c>
      <c r="N55" s="227"/>
      <c r="O55" s="227"/>
      <c r="P55" s="227" t="s">
        <v>74</v>
      </c>
    </row>
    <row r="56" spans="2:16" x14ac:dyDescent="0.2">
      <c r="B56" s="152" t="s">
        <v>50</v>
      </c>
      <c r="C56" s="230" t="s">
        <v>135</v>
      </c>
      <c r="D56" s="230" t="s">
        <v>135</v>
      </c>
      <c r="E56" s="315" t="str">
        <f t="shared" si="16"/>
        <v>-</v>
      </c>
      <c r="F56" s="230" t="s">
        <v>74</v>
      </c>
      <c r="G56" s="230"/>
      <c r="H56" s="230" t="s">
        <v>74</v>
      </c>
      <c r="I56" s="10">
        <v>0</v>
      </c>
      <c r="J56" s="6">
        <f t="shared" si="12"/>
        <v>24</v>
      </c>
      <c r="K56" s="16" t="e">
        <f t="shared" si="13"/>
        <v>#N/A</v>
      </c>
      <c r="L56" s="16" t="e">
        <f t="shared" si="14"/>
        <v>#N/A</v>
      </c>
      <c r="M56" s="16" t="e">
        <f t="shared" ca="1" si="15"/>
        <v>#N/A</v>
      </c>
      <c r="N56" s="227"/>
      <c r="O56" s="227"/>
      <c r="P56" s="227" t="s">
        <v>74</v>
      </c>
    </row>
    <row r="57" spans="2:16" x14ac:dyDescent="0.2">
      <c r="B57" s="152" t="s">
        <v>50</v>
      </c>
      <c r="C57" s="230" t="s">
        <v>135</v>
      </c>
      <c r="D57" s="230" t="s">
        <v>135</v>
      </c>
      <c r="E57" s="315" t="str">
        <f t="shared" si="16"/>
        <v>-</v>
      </c>
      <c r="F57" s="230" t="s">
        <v>74</v>
      </c>
      <c r="G57" s="230"/>
      <c r="H57" s="230" t="s">
        <v>74</v>
      </c>
      <c r="I57" s="10">
        <v>0</v>
      </c>
      <c r="J57" s="6">
        <f t="shared" si="12"/>
        <v>25</v>
      </c>
      <c r="K57" s="16" t="e">
        <f t="shared" si="13"/>
        <v>#N/A</v>
      </c>
      <c r="L57" s="16" t="e">
        <f t="shared" si="14"/>
        <v>#N/A</v>
      </c>
      <c r="M57" s="16" t="e">
        <f t="shared" ca="1" si="15"/>
        <v>#N/A</v>
      </c>
      <c r="N57" s="227"/>
      <c r="O57" s="227"/>
      <c r="P57" s="227" t="s">
        <v>74</v>
      </c>
    </row>
    <row r="58" spans="2:16" x14ac:dyDescent="0.2">
      <c r="B58" s="152" t="s">
        <v>50</v>
      </c>
      <c r="C58" s="230" t="s">
        <v>135</v>
      </c>
      <c r="D58" s="230" t="s">
        <v>135</v>
      </c>
      <c r="E58" s="315" t="str">
        <f t="shared" si="16"/>
        <v>-</v>
      </c>
      <c r="F58" s="230" t="s">
        <v>74</v>
      </c>
      <c r="G58" s="230"/>
      <c r="H58" s="230" t="s">
        <v>74</v>
      </c>
      <c r="I58" s="10">
        <v>0</v>
      </c>
      <c r="J58" s="6">
        <f t="shared" si="12"/>
        <v>26</v>
      </c>
      <c r="K58" s="16" t="e">
        <f t="shared" si="13"/>
        <v>#N/A</v>
      </c>
      <c r="L58" s="16" t="e">
        <f t="shared" si="14"/>
        <v>#N/A</v>
      </c>
      <c r="M58" s="16" t="e">
        <f t="shared" ca="1" si="15"/>
        <v>#N/A</v>
      </c>
      <c r="N58" s="227"/>
      <c r="O58" s="227"/>
      <c r="P58" s="227" t="s">
        <v>74</v>
      </c>
    </row>
    <row r="59" spans="2:16" x14ac:dyDescent="0.2">
      <c r="B59" s="152" t="s">
        <v>50</v>
      </c>
      <c r="C59" s="230" t="s">
        <v>135</v>
      </c>
      <c r="D59" s="230" t="s">
        <v>135</v>
      </c>
      <c r="E59" s="315" t="str">
        <f t="shared" si="16"/>
        <v>-</v>
      </c>
      <c r="F59" s="230" t="s">
        <v>74</v>
      </c>
      <c r="G59" s="230"/>
      <c r="H59" s="230" t="s">
        <v>74</v>
      </c>
      <c r="I59" s="10">
        <v>0</v>
      </c>
      <c r="J59" s="6">
        <f t="shared" si="12"/>
        <v>27</v>
      </c>
      <c r="K59" s="16" t="e">
        <f t="shared" si="13"/>
        <v>#N/A</v>
      </c>
      <c r="L59" s="16" t="e">
        <f t="shared" si="14"/>
        <v>#N/A</v>
      </c>
      <c r="M59" s="16" t="e">
        <f t="shared" ca="1" si="15"/>
        <v>#N/A</v>
      </c>
      <c r="N59" s="227"/>
      <c r="O59" s="227"/>
      <c r="P59" s="227" t="s">
        <v>74</v>
      </c>
    </row>
    <row r="60" spans="2:16" x14ac:dyDescent="0.2">
      <c r="B60" s="152" t="s">
        <v>50</v>
      </c>
      <c r="C60" s="230" t="s">
        <v>135</v>
      </c>
      <c r="D60" s="230" t="s">
        <v>135</v>
      </c>
      <c r="E60" s="315" t="str">
        <f t="shared" si="16"/>
        <v>-</v>
      </c>
      <c r="F60" s="230" t="s">
        <v>74</v>
      </c>
      <c r="G60" s="230"/>
      <c r="H60" s="230" t="s">
        <v>74</v>
      </c>
      <c r="I60" s="10">
        <v>0</v>
      </c>
      <c r="J60" s="6">
        <f t="shared" si="12"/>
        <v>28</v>
      </c>
      <c r="K60" s="16" t="e">
        <f t="shared" si="13"/>
        <v>#N/A</v>
      </c>
      <c r="L60" s="16" t="e">
        <f t="shared" si="14"/>
        <v>#N/A</v>
      </c>
      <c r="M60" s="16" t="e">
        <f t="shared" ca="1" si="15"/>
        <v>#N/A</v>
      </c>
      <c r="N60" s="227"/>
      <c r="O60" s="227"/>
      <c r="P60" s="227" t="s">
        <v>74</v>
      </c>
    </row>
    <row r="61" spans="2:16" x14ac:dyDescent="0.2">
      <c r="B61" s="152" t="s">
        <v>50</v>
      </c>
      <c r="C61" s="230" t="s">
        <v>135</v>
      </c>
      <c r="D61" s="230" t="s">
        <v>135</v>
      </c>
      <c r="E61" s="315" t="str">
        <f t="shared" si="16"/>
        <v>-</v>
      </c>
      <c r="F61" s="230" t="s">
        <v>74</v>
      </c>
      <c r="G61" s="230"/>
      <c r="H61" s="230" t="s">
        <v>74</v>
      </c>
      <c r="I61" s="10">
        <v>0</v>
      </c>
      <c r="J61" s="6">
        <f t="shared" si="12"/>
        <v>29</v>
      </c>
      <c r="K61" s="16" t="e">
        <f t="shared" si="13"/>
        <v>#N/A</v>
      </c>
      <c r="L61" s="16" t="e">
        <f t="shared" si="14"/>
        <v>#N/A</v>
      </c>
      <c r="M61" s="16" t="e">
        <f t="shared" ca="1" si="15"/>
        <v>#N/A</v>
      </c>
      <c r="N61" s="227"/>
      <c r="O61" s="227"/>
      <c r="P61" s="227" t="s">
        <v>74</v>
      </c>
    </row>
    <row r="62" spans="2:16" x14ac:dyDescent="0.2">
      <c r="B62" s="152" t="s">
        <v>50</v>
      </c>
      <c r="C62" s="230" t="s">
        <v>135</v>
      </c>
      <c r="D62" s="230" t="s">
        <v>135</v>
      </c>
      <c r="E62" s="315" t="str">
        <f t="shared" si="16"/>
        <v>-</v>
      </c>
      <c r="F62" s="230" t="s">
        <v>74</v>
      </c>
      <c r="G62" s="230"/>
      <c r="H62" s="230" t="s">
        <v>74</v>
      </c>
      <c r="I62" s="10">
        <v>0</v>
      </c>
      <c r="J62" s="6">
        <f t="shared" si="12"/>
        <v>30</v>
      </c>
      <c r="K62" s="16" t="e">
        <f t="shared" si="13"/>
        <v>#N/A</v>
      </c>
      <c r="L62" s="16" t="e">
        <f t="shared" si="14"/>
        <v>#N/A</v>
      </c>
      <c r="M62" s="16" t="e">
        <f t="shared" ca="1" si="15"/>
        <v>#N/A</v>
      </c>
      <c r="N62" s="227"/>
      <c r="O62" s="227"/>
      <c r="P62" s="227" t="s">
        <v>74</v>
      </c>
    </row>
    <row r="63" spans="2:16" x14ac:dyDescent="0.2">
      <c r="B63" s="152" t="s">
        <v>50</v>
      </c>
      <c r="C63" s="230" t="s">
        <v>135</v>
      </c>
      <c r="D63" s="230" t="s">
        <v>135</v>
      </c>
      <c r="E63" s="315" t="str">
        <f t="shared" si="16"/>
        <v>-</v>
      </c>
      <c r="F63" s="230" t="s">
        <v>74</v>
      </c>
      <c r="G63" s="230"/>
      <c r="H63" s="230" t="s">
        <v>74</v>
      </c>
      <c r="I63" s="10">
        <v>0</v>
      </c>
      <c r="J63" s="6">
        <f t="shared" si="12"/>
        <v>31</v>
      </c>
      <c r="K63" s="16" t="e">
        <f t="shared" si="13"/>
        <v>#N/A</v>
      </c>
      <c r="L63" s="16" t="e">
        <f t="shared" si="14"/>
        <v>#N/A</v>
      </c>
      <c r="M63" s="16" t="e">
        <f t="shared" ca="1" si="15"/>
        <v>#N/A</v>
      </c>
      <c r="N63" s="227"/>
      <c r="O63" s="227"/>
      <c r="P63" s="227" t="s">
        <v>74</v>
      </c>
    </row>
    <row r="64" spans="2:16" ht="16" thickBot="1" x14ac:dyDescent="0.25">
      <c r="B64" s="136" t="s">
        <v>50</v>
      </c>
      <c r="C64" s="137" t="s">
        <v>135</v>
      </c>
      <c r="D64" s="137" t="s">
        <v>135</v>
      </c>
      <c r="E64" s="317" t="str">
        <f t="shared" si="16"/>
        <v>-</v>
      </c>
      <c r="F64" s="137" t="s">
        <v>74</v>
      </c>
      <c r="G64" s="137"/>
      <c r="H64" s="137" t="s">
        <v>74</v>
      </c>
      <c r="I64" s="12">
        <v>0</v>
      </c>
      <c r="J64" s="7">
        <f t="shared" si="12"/>
        <v>32</v>
      </c>
      <c r="K64" s="19" t="e">
        <f t="shared" si="13"/>
        <v>#N/A</v>
      </c>
      <c r="L64" s="19" t="e">
        <f t="shared" si="14"/>
        <v>#N/A</v>
      </c>
      <c r="M64" s="19" t="e">
        <f t="shared" ca="1" si="15"/>
        <v>#N/A</v>
      </c>
      <c r="N64" s="228"/>
      <c r="O64" s="228"/>
      <c r="P64" s="228" t="s">
        <v>74</v>
      </c>
    </row>
    <row r="65" spans="2:16" x14ac:dyDescent="0.2">
      <c r="B65" s="255" t="s">
        <v>50</v>
      </c>
      <c r="C65" s="256" t="s">
        <v>135</v>
      </c>
      <c r="D65" s="256" t="s">
        <v>135</v>
      </c>
      <c r="E65" s="320" t="str">
        <f t="shared" si="16"/>
        <v>-</v>
      </c>
      <c r="F65" s="256" t="s">
        <v>74</v>
      </c>
      <c r="G65" s="325"/>
      <c r="H65" s="256" t="s">
        <v>74</v>
      </c>
      <c r="I65" s="254">
        <f t="shared" ref="I65:I128" si="23">IF(LEFT(H65,4)="BASE",0,IF(LEFT(H65,3)="IOX", VALUE(MID(H65,4,2))*VALUE(RIGHT(H65,1)),0))</f>
        <v>0</v>
      </c>
      <c r="J65" s="5">
        <v>1</v>
      </c>
      <c r="K65" s="15" t="e">
        <f t="shared" si="13"/>
        <v>#N/A</v>
      </c>
      <c r="L65" s="15" t="e">
        <f t="shared" si="14"/>
        <v>#N/A</v>
      </c>
      <c r="M65" s="15" t="e">
        <f t="shared" ca="1" si="15"/>
        <v>#N/A</v>
      </c>
      <c r="N65" s="226"/>
      <c r="O65" s="226"/>
      <c r="P65" s="226" t="s">
        <v>74</v>
      </c>
    </row>
    <row r="66" spans="2:16" x14ac:dyDescent="0.2">
      <c r="B66" s="152" t="s">
        <v>50</v>
      </c>
      <c r="C66" s="230" t="s">
        <v>135</v>
      </c>
      <c r="D66" s="230" t="s">
        <v>135</v>
      </c>
      <c r="E66" s="315" t="str">
        <f t="shared" si="16"/>
        <v>-</v>
      </c>
      <c r="F66" s="230" t="s">
        <v>74</v>
      </c>
      <c r="G66" s="230"/>
      <c r="H66" s="230" t="s">
        <v>74</v>
      </c>
      <c r="I66" s="10">
        <f t="shared" si="23"/>
        <v>0</v>
      </c>
      <c r="J66" s="6">
        <f t="shared" ref="J66:J96" si="24">IF(AND(H66=H65,B66=B65), J65+1,1)</f>
        <v>2</v>
      </c>
      <c r="K66" s="16" t="e">
        <f t="shared" si="13"/>
        <v>#N/A</v>
      </c>
      <c r="L66" s="16" t="e">
        <f t="shared" si="14"/>
        <v>#N/A</v>
      </c>
      <c r="M66" s="16" t="e">
        <f t="shared" ca="1" si="15"/>
        <v>#N/A</v>
      </c>
      <c r="N66" s="227"/>
      <c r="O66" s="227"/>
      <c r="P66" s="227" t="s">
        <v>74</v>
      </c>
    </row>
    <row r="67" spans="2:16" x14ac:dyDescent="0.2">
      <c r="B67" s="152" t="s">
        <v>50</v>
      </c>
      <c r="C67" s="230" t="s">
        <v>135</v>
      </c>
      <c r="D67" s="230" t="s">
        <v>135</v>
      </c>
      <c r="E67" s="315" t="str">
        <f t="shared" si="16"/>
        <v>-</v>
      </c>
      <c r="F67" s="230" t="s">
        <v>74</v>
      </c>
      <c r="G67" s="230"/>
      <c r="H67" s="230" t="s">
        <v>74</v>
      </c>
      <c r="I67" s="10">
        <f t="shared" si="23"/>
        <v>0</v>
      </c>
      <c r="J67" s="6">
        <f t="shared" si="24"/>
        <v>3</v>
      </c>
      <c r="K67" s="16" t="e">
        <f t="shared" si="13"/>
        <v>#N/A</v>
      </c>
      <c r="L67" s="16" t="e">
        <f t="shared" si="14"/>
        <v>#N/A</v>
      </c>
      <c r="M67" s="16" t="e">
        <f t="shared" ca="1" si="15"/>
        <v>#N/A</v>
      </c>
      <c r="N67" s="227"/>
      <c r="O67" s="227"/>
      <c r="P67" s="227" t="s">
        <v>74</v>
      </c>
    </row>
    <row r="68" spans="2:16" x14ac:dyDescent="0.2">
      <c r="B68" s="152" t="s">
        <v>50</v>
      </c>
      <c r="C68" s="230" t="s">
        <v>135</v>
      </c>
      <c r="D68" s="230" t="s">
        <v>135</v>
      </c>
      <c r="E68" s="315" t="str">
        <f t="shared" si="16"/>
        <v>-</v>
      </c>
      <c r="F68" s="230" t="s">
        <v>74</v>
      </c>
      <c r="G68" s="230"/>
      <c r="H68" s="230" t="s">
        <v>74</v>
      </c>
      <c r="I68" s="10">
        <f t="shared" si="23"/>
        <v>0</v>
      </c>
      <c r="J68" s="6">
        <f t="shared" si="24"/>
        <v>4</v>
      </c>
      <c r="K68" s="16" t="e">
        <f t="shared" si="13"/>
        <v>#N/A</v>
      </c>
      <c r="L68" s="16" t="e">
        <f t="shared" si="14"/>
        <v>#N/A</v>
      </c>
      <c r="M68" s="16" t="e">
        <f t="shared" ca="1" si="15"/>
        <v>#N/A</v>
      </c>
      <c r="N68" s="227"/>
      <c r="O68" s="227"/>
      <c r="P68" s="227" t="s">
        <v>74</v>
      </c>
    </row>
    <row r="69" spans="2:16" x14ac:dyDescent="0.2">
      <c r="B69" s="152" t="s">
        <v>50</v>
      </c>
      <c r="C69" s="230" t="s">
        <v>135</v>
      </c>
      <c r="D69" s="230" t="s">
        <v>135</v>
      </c>
      <c r="E69" s="315" t="str">
        <f t="shared" si="16"/>
        <v>-</v>
      </c>
      <c r="F69" s="230" t="s">
        <v>74</v>
      </c>
      <c r="G69" s="230"/>
      <c r="H69" s="230" t="s">
        <v>74</v>
      </c>
      <c r="I69" s="10">
        <f t="shared" si="23"/>
        <v>0</v>
      </c>
      <c r="J69" s="10">
        <f t="shared" si="24"/>
        <v>5</v>
      </c>
      <c r="K69" s="17" t="e">
        <f t="shared" si="13"/>
        <v>#N/A</v>
      </c>
      <c r="L69" s="17" t="e">
        <f t="shared" si="14"/>
        <v>#N/A</v>
      </c>
      <c r="M69" s="17" t="e">
        <f t="shared" ca="1" si="15"/>
        <v>#N/A</v>
      </c>
      <c r="N69" s="227"/>
      <c r="O69" s="227"/>
      <c r="P69" s="227" t="s">
        <v>74</v>
      </c>
    </row>
    <row r="70" spans="2:16" x14ac:dyDescent="0.2">
      <c r="B70" s="152" t="s">
        <v>50</v>
      </c>
      <c r="C70" s="230" t="s">
        <v>135</v>
      </c>
      <c r="D70" s="230" t="s">
        <v>135</v>
      </c>
      <c r="E70" s="315" t="str">
        <f t="shared" si="16"/>
        <v>-</v>
      </c>
      <c r="F70" s="230" t="s">
        <v>74</v>
      </c>
      <c r="G70" s="230"/>
      <c r="H70" s="230" t="s">
        <v>74</v>
      </c>
      <c r="I70" s="10">
        <f t="shared" si="23"/>
        <v>0</v>
      </c>
      <c r="J70" s="10">
        <f t="shared" si="24"/>
        <v>6</v>
      </c>
      <c r="K70" s="17" t="e">
        <f t="shared" si="13"/>
        <v>#N/A</v>
      </c>
      <c r="L70" s="17" t="e">
        <f t="shared" si="14"/>
        <v>#N/A</v>
      </c>
      <c r="M70" s="17" t="e">
        <f t="shared" ca="1" si="15"/>
        <v>#N/A</v>
      </c>
      <c r="N70" s="227"/>
      <c r="O70" s="227"/>
      <c r="P70" s="227" t="s">
        <v>74</v>
      </c>
    </row>
    <row r="71" spans="2:16" x14ac:dyDescent="0.2">
      <c r="B71" s="152" t="s">
        <v>50</v>
      </c>
      <c r="C71" s="230" t="s">
        <v>135</v>
      </c>
      <c r="D71" s="230" t="s">
        <v>135</v>
      </c>
      <c r="E71" s="315" t="str">
        <f t="shared" si="16"/>
        <v>-</v>
      </c>
      <c r="F71" s="230" t="s">
        <v>74</v>
      </c>
      <c r="G71" s="230"/>
      <c r="H71" s="230" t="s">
        <v>74</v>
      </c>
      <c r="I71" s="10">
        <f t="shared" si="23"/>
        <v>0</v>
      </c>
      <c r="J71" s="10">
        <f t="shared" si="24"/>
        <v>7</v>
      </c>
      <c r="K71" s="17" t="e">
        <f t="shared" si="13"/>
        <v>#N/A</v>
      </c>
      <c r="L71" s="17" t="e">
        <f t="shared" si="14"/>
        <v>#N/A</v>
      </c>
      <c r="M71" s="17" t="e">
        <f t="shared" ca="1" si="15"/>
        <v>#N/A</v>
      </c>
      <c r="N71" s="227"/>
      <c r="O71" s="227"/>
      <c r="P71" s="227" t="s">
        <v>74</v>
      </c>
    </row>
    <row r="72" spans="2:16" x14ac:dyDescent="0.2">
      <c r="B72" s="152" t="s">
        <v>50</v>
      </c>
      <c r="C72" s="230" t="s">
        <v>135</v>
      </c>
      <c r="D72" s="230" t="s">
        <v>135</v>
      </c>
      <c r="E72" s="315" t="str">
        <f t="shared" si="16"/>
        <v>-</v>
      </c>
      <c r="F72" s="230" t="s">
        <v>74</v>
      </c>
      <c r="G72" s="230"/>
      <c r="H72" s="230" t="s">
        <v>74</v>
      </c>
      <c r="I72" s="10">
        <f t="shared" si="23"/>
        <v>0</v>
      </c>
      <c r="J72" s="10">
        <f t="shared" si="24"/>
        <v>8</v>
      </c>
      <c r="K72" s="17" t="e">
        <f t="shared" si="13"/>
        <v>#N/A</v>
      </c>
      <c r="L72" s="17" t="e">
        <f t="shared" si="14"/>
        <v>#N/A</v>
      </c>
      <c r="M72" s="17" t="e">
        <f t="shared" ca="1" si="15"/>
        <v>#N/A</v>
      </c>
      <c r="N72" s="227"/>
      <c r="O72" s="227"/>
      <c r="P72" s="227" t="s">
        <v>74</v>
      </c>
    </row>
    <row r="73" spans="2:16" x14ac:dyDescent="0.2">
      <c r="B73" s="152" t="s">
        <v>50</v>
      </c>
      <c r="C73" s="230" t="s">
        <v>135</v>
      </c>
      <c r="D73" s="230" t="s">
        <v>135</v>
      </c>
      <c r="E73" s="315" t="str">
        <f t="shared" si="16"/>
        <v>-</v>
      </c>
      <c r="F73" s="230" t="s">
        <v>74</v>
      </c>
      <c r="G73" s="230"/>
      <c r="H73" s="230" t="s">
        <v>74</v>
      </c>
      <c r="I73" s="10">
        <f t="shared" si="23"/>
        <v>0</v>
      </c>
      <c r="J73" s="10">
        <f t="shared" si="24"/>
        <v>9</v>
      </c>
      <c r="K73" s="17" t="e">
        <f t="shared" si="13"/>
        <v>#N/A</v>
      </c>
      <c r="L73" s="17" t="e">
        <f t="shared" si="14"/>
        <v>#N/A</v>
      </c>
      <c r="M73" s="17" t="e">
        <f t="shared" ca="1" si="15"/>
        <v>#N/A</v>
      </c>
      <c r="N73" s="227"/>
      <c r="O73" s="227"/>
      <c r="P73" s="227" t="s">
        <v>74</v>
      </c>
    </row>
    <row r="74" spans="2:16" x14ac:dyDescent="0.2">
      <c r="B74" s="152" t="s">
        <v>50</v>
      </c>
      <c r="C74" s="230" t="s">
        <v>135</v>
      </c>
      <c r="D74" s="230" t="s">
        <v>135</v>
      </c>
      <c r="E74" s="315" t="str">
        <f t="shared" si="16"/>
        <v>-</v>
      </c>
      <c r="F74" s="230" t="s">
        <v>74</v>
      </c>
      <c r="G74" s="230"/>
      <c r="H74" s="230" t="s">
        <v>74</v>
      </c>
      <c r="I74" s="10">
        <f t="shared" si="23"/>
        <v>0</v>
      </c>
      <c r="J74" s="10">
        <f t="shared" si="24"/>
        <v>10</v>
      </c>
      <c r="K74" s="17" t="e">
        <f t="shared" si="13"/>
        <v>#N/A</v>
      </c>
      <c r="L74" s="17" t="e">
        <f t="shared" si="14"/>
        <v>#N/A</v>
      </c>
      <c r="M74" s="17" t="e">
        <f t="shared" ca="1" si="15"/>
        <v>#N/A</v>
      </c>
      <c r="N74" s="227"/>
      <c r="O74" s="227"/>
      <c r="P74" s="227" t="s">
        <v>74</v>
      </c>
    </row>
    <row r="75" spans="2:16" x14ac:dyDescent="0.2">
      <c r="B75" s="152" t="s">
        <v>50</v>
      </c>
      <c r="C75" s="230" t="s">
        <v>135</v>
      </c>
      <c r="D75" s="230" t="s">
        <v>135</v>
      </c>
      <c r="E75" s="315" t="str">
        <f t="shared" si="16"/>
        <v>-</v>
      </c>
      <c r="F75" s="230" t="s">
        <v>74</v>
      </c>
      <c r="G75" s="230"/>
      <c r="H75" s="230" t="s">
        <v>74</v>
      </c>
      <c r="I75" s="10">
        <f t="shared" si="23"/>
        <v>0</v>
      </c>
      <c r="J75" s="10">
        <f t="shared" si="24"/>
        <v>11</v>
      </c>
      <c r="K75" s="17" t="e">
        <f t="shared" si="13"/>
        <v>#N/A</v>
      </c>
      <c r="L75" s="17" t="e">
        <f t="shared" si="14"/>
        <v>#N/A</v>
      </c>
      <c r="M75" s="17" t="e">
        <f t="shared" ca="1" si="15"/>
        <v>#N/A</v>
      </c>
      <c r="N75" s="227"/>
      <c r="O75" s="227"/>
      <c r="P75" s="227" t="s">
        <v>74</v>
      </c>
    </row>
    <row r="76" spans="2:16" x14ac:dyDescent="0.2">
      <c r="B76" s="152" t="s">
        <v>50</v>
      </c>
      <c r="C76" s="230" t="s">
        <v>135</v>
      </c>
      <c r="D76" s="230" t="s">
        <v>135</v>
      </c>
      <c r="E76" s="315" t="str">
        <f t="shared" si="16"/>
        <v>-</v>
      </c>
      <c r="F76" s="230" t="s">
        <v>74</v>
      </c>
      <c r="G76" s="230"/>
      <c r="H76" s="230" t="s">
        <v>74</v>
      </c>
      <c r="I76" s="10">
        <f t="shared" si="23"/>
        <v>0</v>
      </c>
      <c r="J76" s="10">
        <f t="shared" si="24"/>
        <v>12</v>
      </c>
      <c r="K76" s="17" t="e">
        <f t="shared" si="13"/>
        <v>#N/A</v>
      </c>
      <c r="L76" s="17" t="e">
        <f t="shared" si="14"/>
        <v>#N/A</v>
      </c>
      <c r="M76" s="17" t="e">
        <f t="shared" ca="1" si="15"/>
        <v>#N/A</v>
      </c>
      <c r="N76" s="227"/>
      <c r="O76" s="227"/>
      <c r="P76" s="227" t="s">
        <v>74</v>
      </c>
    </row>
    <row r="77" spans="2:16" x14ac:dyDescent="0.2">
      <c r="B77" s="152" t="s">
        <v>50</v>
      </c>
      <c r="C77" s="230" t="s">
        <v>135</v>
      </c>
      <c r="D77" s="230" t="s">
        <v>135</v>
      </c>
      <c r="E77" s="315" t="str">
        <f t="shared" si="16"/>
        <v>-</v>
      </c>
      <c r="F77" s="230" t="s">
        <v>74</v>
      </c>
      <c r="G77" s="230"/>
      <c r="H77" s="230" t="s">
        <v>74</v>
      </c>
      <c r="I77" s="10">
        <f t="shared" si="23"/>
        <v>0</v>
      </c>
      <c r="J77" s="10">
        <f t="shared" si="24"/>
        <v>13</v>
      </c>
      <c r="K77" s="17" t="e">
        <f t="shared" si="13"/>
        <v>#N/A</v>
      </c>
      <c r="L77" s="17" t="e">
        <f t="shared" si="14"/>
        <v>#N/A</v>
      </c>
      <c r="M77" s="17" t="e">
        <f t="shared" ca="1" si="15"/>
        <v>#N/A</v>
      </c>
      <c r="N77" s="227"/>
      <c r="O77" s="227"/>
      <c r="P77" s="227" t="s">
        <v>74</v>
      </c>
    </row>
    <row r="78" spans="2:16" x14ac:dyDescent="0.2">
      <c r="B78" s="152" t="s">
        <v>50</v>
      </c>
      <c r="C78" s="230" t="s">
        <v>135</v>
      </c>
      <c r="D78" s="230" t="s">
        <v>135</v>
      </c>
      <c r="E78" s="315" t="str">
        <f t="shared" si="16"/>
        <v>-</v>
      </c>
      <c r="F78" s="230" t="s">
        <v>74</v>
      </c>
      <c r="G78" s="230"/>
      <c r="H78" s="230" t="s">
        <v>74</v>
      </c>
      <c r="I78" s="10">
        <f t="shared" si="23"/>
        <v>0</v>
      </c>
      <c r="J78" s="10">
        <f t="shared" si="24"/>
        <v>14</v>
      </c>
      <c r="K78" s="17" t="e">
        <f t="shared" si="13"/>
        <v>#N/A</v>
      </c>
      <c r="L78" s="17" t="e">
        <f t="shared" si="14"/>
        <v>#N/A</v>
      </c>
      <c r="M78" s="17" t="e">
        <f t="shared" ca="1" si="15"/>
        <v>#N/A</v>
      </c>
      <c r="N78" s="227"/>
      <c r="O78" s="227"/>
      <c r="P78" s="227" t="s">
        <v>74</v>
      </c>
    </row>
    <row r="79" spans="2:16" x14ac:dyDescent="0.2">
      <c r="B79" s="152" t="s">
        <v>50</v>
      </c>
      <c r="C79" s="230" t="s">
        <v>135</v>
      </c>
      <c r="D79" s="230" t="s">
        <v>135</v>
      </c>
      <c r="E79" s="315" t="str">
        <f t="shared" si="16"/>
        <v>-</v>
      </c>
      <c r="F79" s="230" t="s">
        <v>74</v>
      </c>
      <c r="G79" s="230"/>
      <c r="H79" s="230" t="s">
        <v>74</v>
      </c>
      <c r="I79" s="10">
        <f t="shared" si="23"/>
        <v>0</v>
      </c>
      <c r="J79" s="10">
        <f t="shared" si="24"/>
        <v>15</v>
      </c>
      <c r="K79" s="17" t="e">
        <f t="shared" si="13"/>
        <v>#N/A</v>
      </c>
      <c r="L79" s="17" t="e">
        <f t="shared" si="14"/>
        <v>#N/A</v>
      </c>
      <c r="M79" s="17" t="e">
        <f t="shared" ca="1" si="15"/>
        <v>#N/A</v>
      </c>
      <c r="N79" s="227"/>
      <c r="O79" s="227"/>
      <c r="P79" s="227" t="s">
        <v>74</v>
      </c>
    </row>
    <row r="80" spans="2:16" x14ac:dyDescent="0.2">
      <c r="B80" s="152" t="s">
        <v>50</v>
      </c>
      <c r="C80" s="230" t="s">
        <v>135</v>
      </c>
      <c r="D80" s="230" t="s">
        <v>135</v>
      </c>
      <c r="E80" s="315" t="str">
        <f t="shared" si="16"/>
        <v>-</v>
      </c>
      <c r="F80" s="230" t="s">
        <v>74</v>
      </c>
      <c r="G80" s="230"/>
      <c r="H80" s="230" t="s">
        <v>74</v>
      </c>
      <c r="I80" s="10">
        <f t="shared" si="23"/>
        <v>0</v>
      </c>
      <c r="J80" s="10">
        <f t="shared" si="24"/>
        <v>16</v>
      </c>
      <c r="K80" s="17" t="e">
        <f t="shared" si="13"/>
        <v>#N/A</v>
      </c>
      <c r="L80" s="17" t="e">
        <f t="shared" si="14"/>
        <v>#N/A</v>
      </c>
      <c r="M80" s="17" t="e">
        <f t="shared" ca="1" si="15"/>
        <v>#N/A</v>
      </c>
      <c r="N80" s="227"/>
      <c r="O80" s="227"/>
      <c r="P80" s="227" t="s">
        <v>74</v>
      </c>
    </row>
    <row r="81" spans="2:16" x14ac:dyDescent="0.2">
      <c r="B81" s="152" t="s">
        <v>50</v>
      </c>
      <c r="C81" s="230" t="s">
        <v>135</v>
      </c>
      <c r="D81" s="230" t="s">
        <v>135</v>
      </c>
      <c r="E81" s="315" t="str">
        <f t="shared" si="16"/>
        <v>-</v>
      </c>
      <c r="F81" s="230" t="s">
        <v>74</v>
      </c>
      <c r="G81" s="230"/>
      <c r="H81" s="230" t="s">
        <v>74</v>
      </c>
      <c r="I81" s="10">
        <f t="shared" si="23"/>
        <v>0</v>
      </c>
      <c r="J81" s="10">
        <f t="shared" si="24"/>
        <v>17</v>
      </c>
      <c r="K81" s="17" t="e">
        <f t="shared" ref="K81:K144" si="25">VLOOKUP(H81,nodeDevicePinConfigTable,3+J81+(IF(B81="IN",0,1)*VLOOKUP(H81,nodeDevicePinConfigTable,2,TRUE)),TRUE)</f>
        <v>#N/A</v>
      </c>
      <c r="L81" s="17" t="e">
        <f t="shared" ref="L81:L144" si="26">VLOOKUP(H81,nodeJMRIPinConfigTable,3+J81+(IF(B81="IN",0,1)*VLOOKUP(H81,nodeJMRIPinConfigTable,2,TRUE)),TRUE)</f>
        <v>#N/A</v>
      </c>
      <c r="M81" s="17" t="e">
        <f t="shared" ref="M81:M144" ca="1" si="27">CONCATENATE(LEFT(L81,2),$D$5*1000+VALUE(RIGHT(L81,3)+I81))</f>
        <v>#N/A</v>
      </c>
      <c r="N81" s="227"/>
      <c r="O81" s="227"/>
      <c r="P81" s="227" t="s">
        <v>74</v>
      </c>
    </row>
    <row r="82" spans="2:16" x14ac:dyDescent="0.2">
      <c r="B82" s="152" t="s">
        <v>50</v>
      </c>
      <c r="C82" s="230" t="s">
        <v>135</v>
      </c>
      <c r="D82" s="230" t="s">
        <v>135</v>
      </c>
      <c r="E82" s="315" t="str">
        <f t="shared" ref="E82:E145" si="28">IF(P82="-",P82,_xlfn.CONCAT(C82,":",P82))</f>
        <v>-</v>
      </c>
      <c r="F82" s="230" t="s">
        <v>74</v>
      </c>
      <c r="G82" s="230"/>
      <c r="H82" s="230" t="s">
        <v>74</v>
      </c>
      <c r="I82" s="10">
        <f t="shared" si="23"/>
        <v>0</v>
      </c>
      <c r="J82" s="10">
        <f t="shared" si="24"/>
        <v>18</v>
      </c>
      <c r="K82" s="17" t="e">
        <f t="shared" si="25"/>
        <v>#N/A</v>
      </c>
      <c r="L82" s="17" t="e">
        <f t="shared" si="26"/>
        <v>#N/A</v>
      </c>
      <c r="M82" s="17" t="e">
        <f t="shared" ca="1" si="27"/>
        <v>#N/A</v>
      </c>
      <c r="N82" s="227"/>
      <c r="O82" s="227"/>
      <c r="P82" s="227" t="s">
        <v>74</v>
      </c>
    </row>
    <row r="83" spans="2:16" x14ac:dyDescent="0.2">
      <c r="B83" s="152" t="s">
        <v>50</v>
      </c>
      <c r="C83" s="230" t="s">
        <v>135</v>
      </c>
      <c r="D83" s="230" t="s">
        <v>135</v>
      </c>
      <c r="E83" s="315" t="str">
        <f t="shared" si="28"/>
        <v>-</v>
      </c>
      <c r="F83" s="230" t="s">
        <v>74</v>
      </c>
      <c r="G83" s="230"/>
      <c r="H83" s="230" t="s">
        <v>74</v>
      </c>
      <c r="I83" s="10">
        <f t="shared" si="23"/>
        <v>0</v>
      </c>
      <c r="J83" s="10">
        <f t="shared" si="24"/>
        <v>19</v>
      </c>
      <c r="K83" s="17" t="e">
        <f t="shared" si="25"/>
        <v>#N/A</v>
      </c>
      <c r="L83" s="17" t="e">
        <f t="shared" si="26"/>
        <v>#N/A</v>
      </c>
      <c r="M83" s="17" t="e">
        <f t="shared" ca="1" si="27"/>
        <v>#N/A</v>
      </c>
      <c r="N83" s="227"/>
      <c r="O83" s="227"/>
      <c r="P83" s="227" t="s">
        <v>74</v>
      </c>
    </row>
    <row r="84" spans="2:16" x14ac:dyDescent="0.2">
      <c r="B84" s="152" t="s">
        <v>50</v>
      </c>
      <c r="C84" s="230" t="s">
        <v>135</v>
      </c>
      <c r="D84" s="230" t="s">
        <v>135</v>
      </c>
      <c r="E84" s="315" t="str">
        <f t="shared" si="28"/>
        <v>-</v>
      </c>
      <c r="F84" s="230" t="s">
        <v>74</v>
      </c>
      <c r="G84" s="230"/>
      <c r="H84" s="230" t="s">
        <v>74</v>
      </c>
      <c r="I84" s="10">
        <f t="shared" si="23"/>
        <v>0</v>
      </c>
      <c r="J84" s="10">
        <f t="shared" si="24"/>
        <v>20</v>
      </c>
      <c r="K84" s="17" t="e">
        <f t="shared" si="25"/>
        <v>#N/A</v>
      </c>
      <c r="L84" s="17" t="e">
        <f t="shared" si="26"/>
        <v>#N/A</v>
      </c>
      <c r="M84" s="17" t="e">
        <f t="shared" ca="1" si="27"/>
        <v>#N/A</v>
      </c>
      <c r="N84" s="227"/>
      <c r="O84" s="227"/>
      <c r="P84" s="227" t="s">
        <v>74</v>
      </c>
    </row>
    <row r="85" spans="2:16" x14ac:dyDescent="0.2">
      <c r="B85" s="152" t="s">
        <v>50</v>
      </c>
      <c r="C85" s="230" t="s">
        <v>135</v>
      </c>
      <c r="D85" s="230" t="s">
        <v>135</v>
      </c>
      <c r="E85" s="315" t="str">
        <f t="shared" si="28"/>
        <v>-</v>
      </c>
      <c r="F85" s="230" t="s">
        <v>74</v>
      </c>
      <c r="G85" s="230"/>
      <c r="H85" s="230" t="s">
        <v>74</v>
      </c>
      <c r="I85" s="10">
        <f t="shared" si="23"/>
        <v>0</v>
      </c>
      <c r="J85" s="10">
        <f t="shared" si="24"/>
        <v>21</v>
      </c>
      <c r="K85" s="17" t="e">
        <f t="shared" si="25"/>
        <v>#N/A</v>
      </c>
      <c r="L85" s="17" t="e">
        <f t="shared" si="26"/>
        <v>#N/A</v>
      </c>
      <c r="M85" s="17" t="e">
        <f t="shared" ca="1" si="27"/>
        <v>#N/A</v>
      </c>
      <c r="N85" s="227"/>
      <c r="O85" s="227"/>
      <c r="P85" s="227" t="s">
        <v>74</v>
      </c>
    </row>
    <row r="86" spans="2:16" x14ac:dyDescent="0.2">
      <c r="B86" s="152" t="s">
        <v>50</v>
      </c>
      <c r="C86" s="230" t="s">
        <v>135</v>
      </c>
      <c r="D86" s="230" t="s">
        <v>135</v>
      </c>
      <c r="E86" s="315" t="str">
        <f t="shared" si="28"/>
        <v>-</v>
      </c>
      <c r="F86" s="230" t="s">
        <v>74</v>
      </c>
      <c r="G86" s="230"/>
      <c r="H86" s="230" t="s">
        <v>74</v>
      </c>
      <c r="I86" s="10">
        <f t="shared" si="23"/>
        <v>0</v>
      </c>
      <c r="J86" s="10">
        <f t="shared" si="24"/>
        <v>22</v>
      </c>
      <c r="K86" s="17" t="e">
        <f t="shared" si="25"/>
        <v>#N/A</v>
      </c>
      <c r="L86" s="17" t="e">
        <f t="shared" si="26"/>
        <v>#N/A</v>
      </c>
      <c r="M86" s="17" t="e">
        <f t="shared" ca="1" si="27"/>
        <v>#N/A</v>
      </c>
      <c r="N86" s="227"/>
      <c r="O86" s="227"/>
      <c r="P86" s="227" t="s">
        <v>74</v>
      </c>
    </row>
    <row r="87" spans="2:16" x14ac:dyDescent="0.2">
      <c r="B87" s="152" t="s">
        <v>50</v>
      </c>
      <c r="C87" s="230" t="s">
        <v>135</v>
      </c>
      <c r="D87" s="230" t="s">
        <v>135</v>
      </c>
      <c r="E87" s="315" t="str">
        <f t="shared" si="28"/>
        <v>-</v>
      </c>
      <c r="F87" s="230" t="s">
        <v>74</v>
      </c>
      <c r="G87" s="230"/>
      <c r="H87" s="230" t="s">
        <v>74</v>
      </c>
      <c r="I87" s="10">
        <f t="shared" si="23"/>
        <v>0</v>
      </c>
      <c r="J87" s="10">
        <f t="shared" si="24"/>
        <v>23</v>
      </c>
      <c r="K87" s="17" t="e">
        <f t="shared" si="25"/>
        <v>#N/A</v>
      </c>
      <c r="L87" s="17" t="e">
        <f t="shared" si="26"/>
        <v>#N/A</v>
      </c>
      <c r="M87" s="17" t="e">
        <f t="shared" ca="1" si="27"/>
        <v>#N/A</v>
      </c>
      <c r="N87" s="227"/>
      <c r="O87" s="227"/>
      <c r="P87" s="227" t="s">
        <v>74</v>
      </c>
    </row>
    <row r="88" spans="2:16" x14ac:dyDescent="0.2">
      <c r="B88" s="152" t="s">
        <v>50</v>
      </c>
      <c r="C88" s="230" t="s">
        <v>135</v>
      </c>
      <c r="D88" s="230" t="s">
        <v>135</v>
      </c>
      <c r="E88" s="315" t="str">
        <f t="shared" si="28"/>
        <v>-</v>
      </c>
      <c r="F88" s="230" t="s">
        <v>74</v>
      </c>
      <c r="G88" s="230"/>
      <c r="H88" s="230" t="s">
        <v>74</v>
      </c>
      <c r="I88" s="10">
        <f t="shared" si="23"/>
        <v>0</v>
      </c>
      <c r="J88" s="10">
        <f t="shared" si="24"/>
        <v>24</v>
      </c>
      <c r="K88" s="17" t="e">
        <f t="shared" si="25"/>
        <v>#N/A</v>
      </c>
      <c r="L88" s="17" t="e">
        <f t="shared" si="26"/>
        <v>#N/A</v>
      </c>
      <c r="M88" s="17" t="e">
        <f t="shared" ca="1" si="27"/>
        <v>#N/A</v>
      </c>
      <c r="N88" s="227"/>
      <c r="O88" s="227"/>
      <c r="P88" s="227" t="s">
        <v>74</v>
      </c>
    </row>
    <row r="89" spans="2:16" x14ac:dyDescent="0.2">
      <c r="B89" s="152" t="s">
        <v>50</v>
      </c>
      <c r="C89" s="230" t="s">
        <v>135</v>
      </c>
      <c r="D89" s="230" t="s">
        <v>135</v>
      </c>
      <c r="E89" s="315" t="str">
        <f t="shared" si="28"/>
        <v>-</v>
      </c>
      <c r="F89" s="230" t="s">
        <v>74</v>
      </c>
      <c r="G89" s="230"/>
      <c r="H89" s="230" t="s">
        <v>74</v>
      </c>
      <c r="I89" s="10">
        <f t="shared" si="23"/>
        <v>0</v>
      </c>
      <c r="J89" s="10">
        <f t="shared" si="24"/>
        <v>25</v>
      </c>
      <c r="K89" s="17" t="e">
        <f t="shared" si="25"/>
        <v>#N/A</v>
      </c>
      <c r="L89" s="17" t="e">
        <f t="shared" si="26"/>
        <v>#N/A</v>
      </c>
      <c r="M89" s="17" t="e">
        <f t="shared" ca="1" si="27"/>
        <v>#N/A</v>
      </c>
      <c r="N89" s="227"/>
      <c r="O89" s="227"/>
      <c r="P89" s="227" t="s">
        <v>74</v>
      </c>
    </row>
    <row r="90" spans="2:16" x14ac:dyDescent="0.2">
      <c r="B90" s="152" t="s">
        <v>50</v>
      </c>
      <c r="C90" s="230" t="s">
        <v>135</v>
      </c>
      <c r="D90" s="230" t="s">
        <v>135</v>
      </c>
      <c r="E90" s="315" t="str">
        <f t="shared" si="28"/>
        <v>-</v>
      </c>
      <c r="F90" s="230" t="s">
        <v>74</v>
      </c>
      <c r="G90" s="230"/>
      <c r="H90" s="230" t="s">
        <v>74</v>
      </c>
      <c r="I90" s="10">
        <f t="shared" si="23"/>
        <v>0</v>
      </c>
      <c r="J90" s="10">
        <f t="shared" si="24"/>
        <v>26</v>
      </c>
      <c r="K90" s="17" t="e">
        <f t="shared" si="25"/>
        <v>#N/A</v>
      </c>
      <c r="L90" s="17" t="e">
        <f t="shared" si="26"/>
        <v>#N/A</v>
      </c>
      <c r="M90" s="17" t="e">
        <f t="shared" ca="1" si="27"/>
        <v>#N/A</v>
      </c>
      <c r="N90" s="227"/>
      <c r="O90" s="227"/>
      <c r="P90" s="227" t="s">
        <v>74</v>
      </c>
    </row>
    <row r="91" spans="2:16" x14ac:dyDescent="0.2">
      <c r="B91" s="152" t="s">
        <v>50</v>
      </c>
      <c r="C91" s="230" t="s">
        <v>135</v>
      </c>
      <c r="D91" s="230" t="s">
        <v>135</v>
      </c>
      <c r="E91" s="315" t="str">
        <f t="shared" si="28"/>
        <v>-</v>
      </c>
      <c r="F91" s="230" t="s">
        <v>74</v>
      </c>
      <c r="G91" s="230"/>
      <c r="H91" s="230" t="s">
        <v>74</v>
      </c>
      <c r="I91" s="10">
        <f t="shared" si="23"/>
        <v>0</v>
      </c>
      <c r="J91" s="10">
        <f t="shared" si="24"/>
        <v>27</v>
      </c>
      <c r="K91" s="17" t="e">
        <f t="shared" si="25"/>
        <v>#N/A</v>
      </c>
      <c r="L91" s="17" t="e">
        <f t="shared" si="26"/>
        <v>#N/A</v>
      </c>
      <c r="M91" s="17" t="e">
        <f t="shared" ca="1" si="27"/>
        <v>#N/A</v>
      </c>
      <c r="N91" s="227"/>
      <c r="O91" s="227"/>
      <c r="P91" s="227" t="s">
        <v>74</v>
      </c>
    </row>
    <row r="92" spans="2:16" x14ac:dyDescent="0.2">
      <c r="B92" s="152" t="s">
        <v>50</v>
      </c>
      <c r="C92" s="230" t="s">
        <v>135</v>
      </c>
      <c r="D92" s="230" t="s">
        <v>135</v>
      </c>
      <c r="E92" s="315" t="str">
        <f t="shared" si="28"/>
        <v>-</v>
      </c>
      <c r="F92" s="230" t="s">
        <v>74</v>
      </c>
      <c r="G92" s="230"/>
      <c r="H92" s="230" t="s">
        <v>74</v>
      </c>
      <c r="I92" s="10">
        <f t="shared" si="23"/>
        <v>0</v>
      </c>
      <c r="J92" s="10">
        <f t="shared" si="24"/>
        <v>28</v>
      </c>
      <c r="K92" s="17" t="e">
        <f t="shared" si="25"/>
        <v>#N/A</v>
      </c>
      <c r="L92" s="17" t="e">
        <f t="shared" si="26"/>
        <v>#N/A</v>
      </c>
      <c r="M92" s="17" t="e">
        <f t="shared" ca="1" si="27"/>
        <v>#N/A</v>
      </c>
      <c r="N92" s="227"/>
      <c r="O92" s="227"/>
      <c r="P92" s="227" t="s">
        <v>74</v>
      </c>
    </row>
    <row r="93" spans="2:16" x14ac:dyDescent="0.2">
      <c r="B93" s="152" t="s">
        <v>50</v>
      </c>
      <c r="C93" s="230" t="s">
        <v>135</v>
      </c>
      <c r="D93" s="230" t="s">
        <v>135</v>
      </c>
      <c r="E93" s="315" t="str">
        <f t="shared" si="28"/>
        <v>-</v>
      </c>
      <c r="F93" s="230" t="s">
        <v>74</v>
      </c>
      <c r="G93" s="230"/>
      <c r="H93" s="230" t="s">
        <v>74</v>
      </c>
      <c r="I93" s="10">
        <f t="shared" si="23"/>
        <v>0</v>
      </c>
      <c r="J93" s="10">
        <f t="shared" si="24"/>
        <v>29</v>
      </c>
      <c r="K93" s="17" t="e">
        <f t="shared" si="25"/>
        <v>#N/A</v>
      </c>
      <c r="L93" s="17" t="e">
        <f t="shared" si="26"/>
        <v>#N/A</v>
      </c>
      <c r="M93" s="17" t="e">
        <f t="shared" ca="1" si="27"/>
        <v>#N/A</v>
      </c>
      <c r="N93" s="227"/>
      <c r="O93" s="227"/>
      <c r="P93" s="227" t="s">
        <v>74</v>
      </c>
    </row>
    <row r="94" spans="2:16" x14ac:dyDescent="0.2">
      <c r="B94" s="152" t="s">
        <v>50</v>
      </c>
      <c r="C94" s="230" t="s">
        <v>135</v>
      </c>
      <c r="D94" s="230" t="s">
        <v>135</v>
      </c>
      <c r="E94" s="315" t="str">
        <f t="shared" si="28"/>
        <v>-</v>
      </c>
      <c r="F94" s="230" t="s">
        <v>74</v>
      </c>
      <c r="G94" s="230"/>
      <c r="H94" s="230" t="s">
        <v>74</v>
      </c>
      <c r="I94" s="10">
        <f t="shared" si="23"/>
        <v>0</v>
      </c>
      <c r="J94" s="10">
        <f t="shared" si="24"/>
        <v>30</v>
      </c>
      <c r="K94" s="17" t="e">
        <f t="shared" si="25"/>
        <v>#N/A</v>
      </c>
      <c r="L94" s="17" t="e">
        <f t="shared" si="26"/>
        <v>#N/A</v>
      </c>
      <c r="M94" s="17" t="e">
        <f t="shared" ca="1" si="27"/>
        <v>#N/A</v>
      </c>
      <c r="N94" s="227"/>
      <c r="O94" s="227"/>
      <c r="P94" s="227" t="s">
        <v>74</v>
      </c>
    </row>
    <row r="95" spans="2:16" x14ac:dyDescent="0.2">
      <c r="B95" s="152" t="s">
        <v>50</v>
      </c>
      <c r="C95" s="230" t="s">
        <v>135</v>
      </c>
      <c r="D95" s="230" t="s">
        <v>135</v>
      </c>
      <c r="E95" s="315" t="str">
        <f t="shared" si="28"/>
        <v>-</v>
      </c>
      <c r="F95" s="230" t="s">
        <v>74</v>
      </c>
      <c r="G95" s="230"/>
      <c r="H95" s="230" t="s">
        <v>74</v>
      </c>
      <c r="I95" s="10">
        <f t="shared" si="23"/>
        <v>0</v>
      </c>
      <c r="J95" s="10">
        <f t="shared" si="24"/>
        <v>31</v>
      </c>
      <c r="K95" s="17" t="e">
        <f t="shared" si="25"/>
        <v>#N/A</v>
      </c>
      <c r="L95" s="17" t="e">
        <f t="shared" si="26"/>
        <v>#N/A</v>
      </c>
      <c r="M95" s="17" t="e">
        <f t="shared" ca="1" si="27"/>
        <v>#N/A</v>
      </c>
      <c r="N95" s="227"/>
      <c r="O95" s="227"/>
      <c r="P95" s="227" t="s">
        <v>74</v>
      </c>
    </row>
    <row r="96" spans="2:16" ht="16" thickBot="1" x14ac:dyDescent="0.25">
      <c r="B96" s="136" t="s">
        <v>50</v>
      </c>
      <c r="C96" s="137" t="s">
        <v>135</v>
      </c>
      <c r="D96" s="137" t="s">
        <v>135</v>
      </c>
      <c r="E96" s="317" t="str">
        <f t="shared" si="28"/>
        <v>-</v>
      </c>
      <c r="F96" s="137" t="s">
        <v>74</v>
      </c>
      <c r="G96" s="137"/>
      <c r="H96" s="137" t="s">
        <v>74</v>
      </c>
      <c r="I96" s="12">
        <f t="shared" si="23"/>
        <v>0</v>
      </c>
      <c r="J96" s="12">
        <f t="shared" si="24"/>
        <v>32</v>
      </c>
      <c r="K96" s="18" t="e">
        <f t="shared" si="25"/>
        <v>#N/A</v>
      </c>
      <c r="L96" s="18" t="e">
        <f t="shared" si="26"/>
        <v>#N/A</v>
      </c>
      <c r="M96" s="18" t="e">
        <f t="shared" ca="1" si="27"/>
        <v>#N/A</v>
      </c>
      <c r="N96" s="228"/>
      <c r="O96" s="228"/>
      <c r="P96" s="228" t="s">
        <v>74</v>
      </c>
    </row>
    <row r="97" spans="2:16" x14ac:dyDescent="0.2">
      <c r="B97" s="255" t="s">
        <v>50</v>
      </c>
      <c r="C97" s="256" t="s">
        <v>135</v>
      </c>
      <c r="D97" s="256" t="s">
        <v>135</v>
      </c>
      <c r="E97" s="320" t="str">
        <f t="shared" si="28"/>
        <v>-</v>
      </c>
      <c r="F97" s="256" t="s">
        <v>74</v>
      </c>
      <c r="G97" s="325"/>
      <c r="H97" s="256" t="s">
        <v>74</v>
      </c>
      <c r="I97" s="254">
        <f t="shared" si="23"/>
        <v>0</v>
      </c>
      <c r="J97" s="5">
        <v>1</v>
      </c>
      <c r="K97" s="15" t="e">
        <f t="shared" si="25"/>
        <v>#N/A</v>
      </c>
      <c r="L97" s="15" t="e">
        <f t="shared" si="26"/>
        <v>#N/A</v>
      </c>
      <c r="M97" s="15" t="e">
        <f t="shared" ca="1" si="27"/>
        <v>#N/A</v>
      </c>
      <c r="N97" s="226"/>
      <c r="O97" s="226"/>
      <c r="P97" s="226" t="s">
        <v>74</v>
      </c>
    </row>
    <row r="98" spans="2:16" x14ac:dyDescent="0.2">
      <c r="B98" s="152" t="s">
        <v>50</v>
      </c>
      <c r="C98" s="230" t="s">
        <v>135</v>
      </c>
      <c r="D98" s="230" t="s">
        <v>135</v>
      </c>
      <c r="E98" s="315" t="str">
        <f t="shared" si="28"/>
        <v>-</v>
      </c>
      <c r="F98" s="230" t="s">
        <v>74</v>
      </c>
      <c r="G98" s="230"/>
      <c r="H98" s="230" t="s">
        <v>74</v>
      </c>
      <c r="I98" s="10">
        <f t="shared" si="23"/>
        <v>0</v>
      </c>
      <c r="J98" s="6">
        <f t="shared" ref="J98:J128" si="29">IF(AND(H98=H97,B98=B97), J97+1,1)</f>
        <v>2</v>
      </c>
      <c r="K98" s="16" t="e">
        <f t="shared" si="25"/>
        <v>#N/A</v>
      </c>
      <c r="L98" s="16" t="e">
        <f t="shared" si="26"/>
        <v>#N/A</v>
      </c>
      <c r="M98" s="16" t="e">
        <f t="shared" ca="1" si="27"/>
        <v>#N/A</v>
      </c>
      <c r="N98" s="227"/>
      <c r="O98" s="227"/>
      <c r="P98" s="227" t="s">
        <v>74</v>
      </c>
    </row>
    <row r="99" spans="2:16" x14ac:dyDescent="0.2">
      <c r="B99" s="152" t="s">
        <v>50</v>
      </c>
      <c r="C99" s="230" t="s">
        <v>135</v>
      </c>
      <c r="D99" s="230" t="s">
        <v>135</v>
      </c>
      <c r="E99" s="315" t="str">
        <f t="shared" si="28"/>
        <v>-</v>
      </c>
      <c r="F99" s="230" t="s">
        <v>74</v>
      </c>
      <c r="G99" s="230"/>
      <c r="H99" s="230" t="s">
        <v>74</v>
      </c>
      <c r="I99" s="10">
        <f t="shared" si="23"/>
        <v>0</v>
      </c>
      <c r="J99" s="6">
        <f t="shared" si="29"/>
        <v>3</v>
      </c>
      <c r="K99" s="16" t="e">
        <f t="shared" si="25"/>
        <v>#N/A</v>
      </c>
      <c r="L99" s="16" t="e">
        <f t="shared" si="26"/>
        <v>#N/A</v>
      </c>
      <c r="M99" s="16" t="e">
        <f t="shared" ca="1" si="27"/>
        <v>#N/A</v>
      </c>
      <c r="N99" s="227"/>
      <c r="O99" s="227"/>
      <c r="P99" s="227" t="s">
        <v>74</v>
      </c>
    </row>
    <row r="100" spans="2:16" x14ac:dyDescent="0.2">
      <c r="B100" s="152" t="s">
        <v>50</v>
      </c>
      <c r="C100" s="230" t="s">
        <v>135</v>
      </c>
      <c r="D100" s="230" t="s">
        <v>135</v>
      </c>
      <c r="E100" s="315" t="str">
        <f t="shared" si="28"/>
        <v>-</v>
      </c>
      <c r="F100" s="230" t="s">
        <v>74</v>
      </c>
      <c r="G100" s="230"/>
      <c r="H100" s="230" t="s">
        <v>74</v>
      </c>
      <c r="I100" s="10">
        <f t="shared" si="23"/>
        <v>0</v>
      </c>
      <c r="J100" s="6">
        <f t="shared" si="29"/>
        <v>4</v>
      </c>
      <c r="K100" s="16" t="e">
        <f t="shared" si="25"/>
        <v>#N/A</v>
      </c>
      <c r="L100" s="16" t="e">
        <f t="shared" si="26"/>
        <v>#N/A</v>
      </c>
      <c r="M100" s="16" t="e">
        <f t="shared" ca="1" si="27"/>
        <v>#N/A</v>
      </c>
      <c r="N100" s="227"/>
      <c r="O100" s="227"/>
      <c r="P100" s="227" t="s">
        <v>74</v>
      </c>
    </row>
    <row r="101" spans="2:16" x14ac:dyDescent="0.2">
      <c r="B101" s="152" t="s">
        <v>50</v>
      </c>
      <c r="C101" s="230" t="s">
        <v>135</v>
      </c>
      <c r="D101" s="230" t="s">
        <v>135</v>
      </c>
      <c r="E101" s="315" t="str">
        <f t="shared" si="28"/>
        <v>-</v>
      </c>
      <c r="F101" s="230" t="s">
        <v>74</v>
      </c>
      <c r="G101" s="230"/>
      <c r="H101" s="230" t="s">
        <v>74</v>
      </c>
      <c r="I101" s="10">
        <f t="shared" si="23"/>
        <v>0</v>
      </c>
      <c r="J101" s="10">
        <f t="shared" si="29"/>
        <v>5</v>
      </c>
      <c r="K101" s="17" t="e">
        <f t="shared" si="25"/>
        <v>#N/A</v>
      </c>
      <c r="L101" s="17" t="e">
        <f t="shared" si="26"/>
        <v>#N/A</v>
      </c>
      <c r="M101" s="17" t="e">
        <f t="shared" ca="1" si="27"/>
        <v>#N/A</v>
      </c>
      <c r="N101" s="227"/>
      <c r="O101" s="227"/>
      <c r="P101" s="227" t="s">
        <v>74</v>
      </c>
    </row>
    <row r="102" spans="2:16" x14ac:dyDescent="0.2">
      <c r="B102" s="152" t="s">
        <v>50</v>
      </c>
      <c r="C102" s="230" t="s">
        <v>135</v>
      </c>
      <c r="D102" s="230" t="s">
        <v>135</v>
      </c>
      <c r="E102" s="315" t="str">
        <f t="shared" si="28"/>
        <v>-</v>
      </c>
      <c r="F102" s="230" t="s">
        <v>74</v>
      </c>
      <c r="G102" s="230"/>
      <c r="H102" s="230" t="s">
        <v>74</v>
      </c>
      <c r="I102" s="10">
        <f t="shared" si="23"/>
        <v>0</v>
      </c>
      <c r="J102" s="10">
        <f t="shared" si="29"/>
        <v>6</v>
      </c>
      <c r="K102" s="17" t="e">
        <f t="shared" si="25"/>
        <v>#N/A</v>
      </c>
      <c r="L102" s="17" t="e">
        <f t="shared" si="26"/>
        <v>#N/A</v>
      </c>
      <c r="M102" s="17" t="e">
        <f t="shared" ca="1" si="27"/>
        <v>#N/A</v>
      </c>
      <c r="N102" s="227"/>
      <c r="O102" s="227"/>
      <c r="P102" s="227" t="s">
        <v>74</v>
      </c>
    </row>
    <row r="103" spans="2:16" x14ac:dyDescent="0.2">
      <c r="B103" s="152" t="s">
        <v>50</v>
      </c>
      <c r="C103" s="230" t="s">
        <v>135</v>
      </c>
      <c r="D103" s="230" t="s">
        <v>135</v>
      </c>
      <c r="E103" s="315" t="str">
        <f t="shared" si="28"/>
        <v>-</v>
      </c>
      <c r="F103" s="230" t="s">
        <v>74</v>
      </c>
      <c r="G103" s="230"/>
      <c r="H103" s="230" t="s">
        <v>74</v>
      </c>
      <c r="I103" s="10">
        <f t="shared" si="23"/>
        <v>0</v>
      </c>
      <c r="J103" s="10">
        <f t="shared" si="29"/>
        <v>7</v>
      </c>
      <c r="K103" s="17" t="e">
        <f t="shared" si="25"/>
        <v>#N/A</v>
      </c>
      <c r="L103" s="17" t="e">
        <f t="shared" si="26"/>
        <v>#N/A</v>
      </c>
      <c r="M103" s="17" t="e">
        <f t="shared" ca="1" si="27"/>
        <v>#N/A</v>
      </c>
      <c r="N103" s="227"/>
      <c r="O103" s="227"/>
      <c r="P103" s="227" t="s">
        <v>74</v>
      </c>
    </row>
    <row r="104" spans="2:16" x14ac:dyDescent="0.2">
      <c r="B104" s="152" t="s">
        <v>50</v>
      </c>
      <c r="C104" s="230" t="s">
        <v>135</v>
      </c>
      <c r="D104" s="230" t="s">
        <v>135</v>
      </c>
      <c r="E104" s="315" t="str">
        <f t="shared" si="28"/>
        <v>-</v>
      </c>
      <c r="F104" s="230" t="s">
        <v>74</v>
      </c>
      <c r="G104" s="230"/>
      <c r="H104" s="230" t="s">
        <v>74</v>
      </c>
      <c r="I104" s="10">
        <f t="shared" si="23"/>
        <v>0</v>
      </c>
      <c r="J104" s="10">
        <f t="shared" si="29"/>
        <v>8</v>
      </c>
      <c r="K104" s="17" t="e">
        <f t="shared" si="25"/>
        <v>#N/A</v>
      </c>
      <c r="L104" s="17" t="e">
        <f t="shared" si="26"/>
        <v>#N/A</v>
      </c>
      <c r="M104" s="17" t="e">
        <f t="shared" ca="1" si="27"/>
        <v>#N/A</v>
      </c>
      <c r="N104" s="227"/>
      <c r="O104" s="227"/>
      <c r="P104" s="227" t="s">
        <v>74</v>
      </c>
    </row>
    <row r="105" spans="2:16" x14ac:dyDescent="0.2">
      <c r="B105" s="152" t="s">
        <v>50</v>
      </c>
      <c r="C105" s="230" t="s">
        <v>135</v>
      </c>
      <c r="D105" s="230" t="s">
        <v>135</v>
      </c>
      <c r="E105" s="315" t="str">
        <f t="shared" si="28"/>
        <v>-</v>
      </c>
      <c r="F105" s="230" t="s">
        <v>74</v>
      </c>
      <c r="G105" s="230"/>
      <c r="H105" s="230" t="s">
        <v>74</v>
      </c>
      <c r="I105" s="10">
        <f t="shared" si="23"/>
        <v>0</v>
      </c>
      <c r="J105" s="10">
        <f t="shared" si="29"/>
        <v>9</v>
      </c>
      <c r="K105" s="17" t="e">
        <f t="shared" si="25"/>
        <v>#N/A</v>
      </c>
      <c r="L105" s="17" t="e">
        <f t="shared" si="26"/>
        <v>#N/A</v>
      </c>
      <c r="M105" s="17" t="e">
        <f t="shared" ca="1" si="27"/>
        <v>#N/A</v>
      </c>
      <c r="N105" s="227"/>
      <c r="O105" s="227"/>
      <c r="P105" s="227" t="s">
        <v>74</v>
      </c>
    </row>
    <row r="106" spans="2:16" x14ac:dyDescent="0.2">
      <c r="B106" s="152" t="s">
        <v>50</v>
      </c>
      <c r="C106" s="230" t="s">
        <v>135</v>
      </c>
      <c r="D106" s="230" t="s">
        <v>135</v>
      </c>
      <c r="E106" s="315" t="str">
        <f t="shared" si="28"/>
        <v>-</v>
      </c>
      <c r="F106" s="230" t="s">
        <v>74</v>
      </c>
      <c r="G106" s="230"/>
      <c r="H106" s="230" t="s">
        <v>74</v>
      </c>
      <c r="I106" s="10">
        <f t="shared" si="23"/>
        <v>0</v>
      </c>
      <c r="J106" s="10">
        <f t="shared" si="29"/>
        <v>10</v>
      </c>
      <c r="K106" s="17" t="e">
        <f t="shared" si="25"/>
        <v>#N/A</v>
      </c>
      <c r="L106" s="17" t="e">
        <f t="shared" si="26"/>
        <v>#N/A</v>
      </c>
      <c r="M106" s="17" t="e">
        <f t="shared" ca="1" si="27"/>
        <v>#N/A</v>
      </c>
      <c r="N106" s="227"/>
      <c r="O106" s="227"/>
      <c r="P106" s="227" t="s">
        <v>74</v>
      </c>
    </row>
    <row r="107" spans="2:16" x14ac:dyDescent="0.2">
      <c r="B107" s="152" t="s">
        <v>50</v>
      </c>
      <c r="C107" s="230" t="s">
        <v>135</v>
      </c>
      <c r="D107" s="230" t="s">
        <v>135</v>
      </c>
      <c r="E107" s="315" t="str">
        <f t="shared" si="28"/>
        <v>-</v>
      </c>
      <c r="F107" s="230" t="s">
        <v>74</v>
      </c>
      <c r="G107" s="230"/>
      <c r="H107" s="230" t="s">
        <v>74</v>
      </c>
      <c r="I107" s="10">
        <f t="shared" si="23"/>
        <v>0</v>
      </c>
      <c r="J107" s="10">
        <f t="shared" si="29"/>
        <v>11</v>
      </c>
      <c r="K107" s="17" t="e">
        <f t="shared" si="25"/>
        <v>#N/A</v>
      </c>
      <c r="L107" s="17" t="e">
        <f t="shared" si="26"/>
        <v>#N/A</v>
      </c>
      <c r="M107" s="17" t="e">
        <f t="shared" ca="1" si="27"/>
        <v>#N/A</v>
      </c>
      <c r="N107" s="227"/>
      <c r="O107" s="227"/>
      <c r="P107" s="227" t="s">
        <v>74</v>
      </c>
    </row>
    <row r="108" spans="2:16" x14ac:dyDescent="0.2">
      <c r="B108" s="152" t="s">
        <v>50</v>
      </c>
      <c r="C108" s="230" t="s">
        <v>135</v>
      </c>
      <c r="D108" s="230" t="s">
        <v>135</v>
      </c>
      <c r="E108" s="315" t="str">
        <f t="shared" si="28"/>
        <v>-</v>
      </c>
      <c r="F108" s="230" t="s">
        <v>74</v>
      </c>
      <c r="G108" s="230"/>
      <c r="H108" s="230" t="s">
        <v>74</v>
      </c>
      <c r="I108" s="10">
        <f t="shared" si="23"/>
        <v>0</v>
      </c>
      <c r="J108" s="10">
        <f t="shared" si="29"/>
        <v>12</v>
      </c>
      <c r="K108" s="17" t="e">
        <f t="shared" si="25"/>
        <v>#N/A</v>
      </c>
      <c r="L108" s="17" t="e">
        <f t="shared" si="26"/>
        <v>#N/A</v>
      </c>
      <c r="M108" s="17" t="e">
        <f t="shared" ca="1" si="27"/>
        <v>#N/A</v>
      </c>
      <c r="N108" s="227"/>
      <c r="O108" s="227"/>
      <c r="P108" s="227" t="s">
        <v>74</v>
      </c>
    </row>
    <row r="109" spans="2:16" x14ac:dyDescent="0.2">
      <c r="B109" s="152" t="s">
        <v>50</v>
      </c>
      <c r="C109" s="230" t="s">
        <v>135</v>
      </c>
      <c r="D109" s="230" t="s">
        <v>135</v>
      </c>
      <c r="E109" s="315" t="str">
        <f t="shared" si="28"/>
        <v>-</v>
      </c>
      <c r="F109" s="230" t="s">
        <v>74</v>
      </c>
      <c r="G109" s="230"/>
      <c r="H109" s="230" t="s">
        <v>74</v>
      </c>
      <c r="I109" s="10">
        <f t="shared" si="23"/>
        <v>0</v>
      </c>
      <c r="J109" s="10">
        <f t="shared" si="29"/>
        <v>13</v>
      </c>
      <c r="K109" s="17" t="e">
        <f t="shared" si="25"/>
        <v>#N/A</v>
      </c>
      <c r="L109" s="17" t="e">
        <f t="shared" si="26"/>
        <v>#N/A</v>
      </c>
      <c r="M109" s="17" t="e">
        <f t="shared" ca="1" si="27"/>
        <v>#N/A</v>
      </c>
      <c r="N109" s="227"/>
      <c r="O109" s="227"/>
      <c r="P109" s="227" t="s">
        <v>74</v>
      </c>
    </row>
    <row r="110" spans="2:16" x14ac:dyDescent="0.2">
      <c r="B110" s="152" t="s">
        <v>50</v>
      </c>
      <c r="C110" s="230" t="s">
        <v>135</v>
      </c>
      <c r="D110" s="230" t="s">
        <v>135</v>
      </c>
      <c r="E110" s="315" t="str">
        <f t="shared" si="28"/>
        <v>-</v>
      </c>
      <c r="F110" s="230" t="s">
        <v>74</v>
      </c>
      <c r="G110" s="230"/>
      <c r="H110" s="230" t="s">
        <v>74</v>
      </c>
      <c r="I110" s="10">
        <f t="shared" si="23"/>
        <v>0</v>
      </c>
      <c r="J110" s="10">
        <f t="shared" si="29"/>
        <v>14</v>
      </c>
      <c r="K110" s="17" t="e">
        <f t="shared" si="25"/>
        <v>#N/A</v>
      </c>
      <c r="L110" s="17" t="e">
        <f t="shared" si="26"/>
        <v>#N/A</v>
      </c>
      <c r="M110" s="17" t="e">
        <f t="shared" ca="1" si="27"/>
        <v>#N/A</v>
      </c>
      <c r="N110" s="227"/>
      <c r="O110" s="227"/>
      <c r="P110" s="227" t="s">
        <v>74</v>
      </c>
    </row>
    <row r="111" spans="2:16" x14ac:dyDescent="0.2">
      <c r="B111" s="152" t="s">
        <v>50</v>
      </c>
      <c r="C111" s="230" t="s">
        <v>135</v>
      </c>
      <c r="D111" s="230" t="s">
        <v>135</v>
      </c>
      <c r="E111" s="315" t="str">
        <f t="shared" si="28"/>
        <v>-</v>
      </c>
      <c r="F111" s="230" t="s">
        <v>74</v>
      </c>
      <c r="G111" s="230"/>
      <c r="H111" s="230" t="s">
        <v>74</v>
      </c>
      <c r="I111" s="10">
        <f t="shared" si="23"/>
        <v>0</v>
      </c>
      <c r="J111" s="10">
        <f t="shared" si="29"/>
        <v>15</v>
      </c>
      <c r="K111" s="17" t="e">
        <f t="shared" si="25"/>
        <v>#N/A</v>
      </c>
      <c r="L111" s="17" t="e">
        <f t="shared" si="26"/>
        <v>#N/A</v>
      </c>
      <c r="M111" s="17" t="e">
        <f t="shared" ca="1" si="27"/>
        <v>#N/A</v>
      </c>
      <c r="N111" s="227"/>
      <c r="O111" s="227"/>
      <c r="P111" s="227" t="s">
        <v>74</v>
      </c>
    </row>
    <row r="112" spans="2:16" x14ac:dyDescent="0.2">
      <c r="B112" s="152" t="s">
        <v>50</v>
      </c>
      <c r="C112" s="230" t="s">
        <v>135</v>
      </c>
      <c r="D112" s="230" t="s">
        <v>135</v>
      </c>
      <c r="E112" s="315" t="str">
        <f t="shared" si="28"/>
        <v>-</v>
      </c>
      <c r="F112" s="230" t="s">
        <v>74</v>
      </c>
      <c r="G112" s="230"/>
      <c r="H112" s="230" t="s">
        <v>74</v>
      </c>
      <c r="I112" s="10">
        <f t="shared" si="23"/>
        <v>0</v>
      </c>
      <c r="J112" s="10">
        <f t="shared" si="29"/>
        <v>16</v>
      </c>
      <c r="K112" s="17" t="e">
        <f t="shared" si="25"/>
        <v>#N/A</v>
      </c>
      <c r="L112" s="17" t="e">
        <f t="shared" si="26"/>
        <v>#N/A</v>
      </c>
      <c r="M112" s="17" t="e">
        <f t="shared" ca="1" si="27"/>
        <v>#N/A</v>
      </c>
      <c r="N112" s="227"/>
      <c r="O112" s="227"/>
      <c r="P112" s="227" t="s">
        <v>74</v>
      </c>
    </row>
    <row r="113" spans="2:16" x14ac:dyDescent="0.2">
      <c r="B113" s="152" t="s">
        <v>50</v>
      </c>
      <c r="C113" s="230" t="s">
        <v>135</v>
      </c>
      <c r="D113" s="230" t="s">
        <v>135</v>
      </c>
      <c r="E113" s="315" t="str">
        <f t="shared" si="28"/>
        <v>-</v>
      </c>
      <c r="F113" s="230" t="s">
        <v>74</v>
      </c>
      <c r="G113" s="230"/>
      <c r="H113" s="230" t="s">
        <v>74</v>
      </c>
      <c r="I113" s="10">
        <f t="shared" si="23"/>
        <v>0</v>
      </c>
      <c r="J113" s="10">
        <f t="shared" si="29"/>
        <v>17</v>
      </c>
      <c r="K113" s="17" t="e">
        <f t="shared" si="25"/>
        <v>#N/A</v>
      </c>
      <c r="L113" s="17" t="e">
        <f t="shared" si="26"/>
        <v>#N/A</v>
      </c>
      <c r="M113" s="17" t="e">
        <f t="shared" ca="1" si="27"/>
        <v>#N/A</v>
      </c>
      <c r="N113" s="227"/>
      <c r="O113" s="227"/>
      <c r="P113" s="227" t="s">
        <v>74</v>
      </c>
    </row>
    <row r="114" spans="2:16" x14ac:dyDescent="0.2">
      <c r="B114" s="152" t="s">
        <v>50</v>
      </c>
      <c r="C114" s="230" t="s">
        <v>135</v>
      </c>
      <c r="D114" s="230" t="s">
        <v>135</v>
      </c>
      <c r="E114" s="315" t="str">
        <f t="shared" si="28"/>
        <v>-</v>
      </c>
      <c r="F114" s="230" t="s">
        <v>74</v>
      </c>
      <c r="G114" s="230"/>
      <c r="H114" s="230" t="s">
        <v>74</v>
      </c>
      <c r="I114" s="10">
        <f t="shared" si="23"/>
        <v>0</v>
      </c>
      <c r="J114" s="10">
        <f t="shared" si="29"/>
        <v>18</v>
      </c>
      <c r="K114" s="17" t="e">
        <f t="shared" si="25"/>
        <v>#N/A</v>
      </c>
      <c r="L114" s="17" t="e">
        <f t="shared" si="26"/>
        <v>#N/A</v>
      </c>
      <c r="M114" s="17" t="e">
        <f t="shared" ca="1" si="27"/>
        <v>#N/A</v>
      </c>
      <c r="N114" s="227"/>
      <c r="O114" s="227"/>
      <c r="P114" s="227" t="s">
        <v>74</v>
      </c>
    </row>
    <row r="115" spans="2:16" x14ac:dyDescent="0.2">
      <c r="B115" s="152" t="s">
        <v>50</v>
      </c>
      <c r="C115" s="230" t="s">
        <v>135</v>
      </c>
      <c r="D115" s="230" t="s">
        <v>135</v>
      </c>
      <c r="E115" s="315" t="str">
        <f t="shared" si="28"/>
        <v>-</v>
      </c>
      <c r="F115" s="230" t="s">
        <v>74</v>
      </c>
      <c r="G115" s="230"/>
      <c r="H115" s="230" t="s">
        <v>74</v>
      </c>
      <c r="I115" s="10">
        <f t="shared" si="23"/>
        <v>0</v>
      </c>
      <c r="J115" s="10">
        <f t="shared" si="29"/>
        <v>19</v>
      </c>
      <c r="K115" s="17" t="e">
        <f t="shared" si="25"/>
        <v>#N/A</v>
      </c>
      <c r="L115" s="17" t="e">
        <f t="shared" si="26"/>
        <v>#N/A</v>
      </c>
      <c r="M115" s="17" t="e">
        <f t="shared" ca="1" si="27"/>
        <v>#N/A</v>
      </c>
      <c r="N115" s="227"/>
      <c r="O115" s="227"/>
      <c r="P115" s="227" t="s">
        <v>74</v>
      </c>
    </row>
    <row r="116" spans="2:16" x14ac:dyDescent="0.2">
      <c r="B116" s="152" t="s">
        <v>50</v>
      </c>
      <c r="C116" s="230" t="s">
        <v>135</v>
      </c>
      <c r="D116" s="230" t="s">
        <v>135</v>
      </c>
      <c r="E116" s="315" t="str">
        <f t="shared" si="28"/>
        <v>-</v>
      </c>
      <c r="F116" s="230" t="s">
        <v>74</v>
      </c>
      <c r="G116" s="230"/>
      <c r="H116" s="230" t="s">
        <v>74</v>
      </c>
      <c r="I116" s="10">
        <f t="shared" si="23"/>
        <v>0</v>
      </c>
      <c r="J116" s="10">
        <f t="shared" si="29"/>
        <v>20</v>
      </c>
      <c r="K116" s="17" t="e">
        <f t="shared" si="25"/>
        <v>#N/A</v>
      </c>
      <c r="L116" s="17" t="e">
        <f t="shared" si="26"/>
        <v>#N/A</v>
      </c>
      <c r="M116" s="17" t="e">
        <f t="shared" ca="1" si="27"/>
        <v>#N/A</v>
      </c>
      <c r="N116" s="227"/>
      <c r="O116" s="227"/>
      <c r="P116" s="227" t="s">
        <v>74</v>
      </c>
    </row>
    <row r="117" spans="2:16" x14ac:dyDescent="0.2">
      <c r="B117" s="152" t="s">
        <v>50</v>
      </c>
      <c r="C117" s="230" t="s">
        <v>135</v>
      </c>
      <c r="D117" s="230" t="s">
        <v>135</v>
      </c>
      <c r="E117" s="315" t="str">
        <f t="shared" si="28"/>
        <v>-</v>
      </c>
      <c r="F117" s="230" t="s">
        <v>74</v>
      </c>
      <c r="G117" s="230"/>
      <c r="H117" s="230" t="s">
        <v>74</v>
      </c>
      <c r="I117" s="10">
        <f t="shared" si="23"/>
        <v>0</v>
      </c>
      <c r="J117" s="10">
        <f t="shared" si="29"/>
        <v>21</v>
      </c>
      <c r="K117" s="17" t="e">
        <f t="shared" si="25"/>
        <v>#N/A</v>
      </c>
      <c r="L117" s="17" t="e">
        <f t="shared" si="26"/>
        <v>#N/A</v>
      </c>
      <c r="M117" s="17" t="e">
        <f t="shared" ca="1" si="27"/>
        <v>#N/A</v>
      </c>
      <c r="N117" s="227"/>
      <c r="O117" s="227"/>
      <c r="P117" s="227" t="s">
        <v>74</v>
      </c>
    </row>
    <row r="118" spans="2:16" x14ac:dyDescent="0.2">
      <c r="B118" s="152" t="s">
        <v>50</v>
      </c>
      <c r="C118" s="230" t="s">
        <v>135</v>
      </c>
      <c r="D118" s="230" t="s">
        <v>135</v>
      </c>
      <c r="E118" s="315" t="str">
        <f t="shared" si="28"/>
        <v>-</v>
      </c>
      <c r="F118" s="230" t="s">
        <v>74</v>
      </c>
      <c r="G118" s="230"/>
      <c r="H118" s="230" t="s">
        <v>74</v>
      </c>
      <c r="I118" s="10">
        <f t="shared" si="23"/>
        <v>0</v>
      </c>
      <c r="J118" s="10">
        <f t="shared" si="29"/>
        <v>22</v>
      </c>
      <c r="K118" s="17" t="e">
        <f t="shared" si="25"/>
        <v>#N/A</v>
      </c>
      <c r="L118" s="17" t="e">
        <f t="shared" si="26"/>
        <v>#N/A</v>
      </c>
      <c r="M118" s="17" t="e">
        <f t="shared" ca="1" si="27"/>
        <v>#N/A</v>
      </c>
      <c r="N118" s="227"/>
      <c r="O118" s="227"/>
      <c r="P118" s="227" t="s">
        <v>74</v>
      </c>
    </row>
    <row r="119" spans="2:16" x14ac:dyDescent="0.2">
      <c r="B119" s="152" t="s">
        <v>50</v>
      </c>
      <c r="C119" s="230" t="s">
        <v>135</v>
      </c>
      <c r="D119" s="230" t="s">
        <v>135</v>
      </c>
      <c r="E119" s="315" t="str">
        <f t="shared" si="28"/>
        <v>-</v>
      </c>
      <c r="F119" s="230" t="s">
        <v>74</v>
      </c>
      <c r="G119" s="230"/>
      <c r="H119" s="230" t="s">
        <v>74</v>
      </c>
      <c r="I119" s="10">
        <f t="shared" si="23"/>
        <v>0</v>
      </c>
      <c r="J119" s="10">
        <f t="shared" si="29"/>
        <v>23</v>
      </c>
      <c r="K119" s="17" t="e">
        <f t="shared" si="25"/>
        <v>#N/A</v>
      </c>
      <c r="L119" s="17" t="e">
        <f t="shared" si="26"/>
        <v>#N/A</v>
      </c>
      <c r="M119" s="17" t="e">
        <f t="shared" ca="1" si="27"/>
        <v>#N/A</v>
      </c>
      <c r="N119" s="227"/>
      <c r="O119" s="227"/>
      <c r="P119" s="227" t="s">
        <v>74</v>
      </c>
    </row>
    <row r="120" spans="2:16" x14ac:dyDescent="0.2">
      <c r="B120" s="152" t="s">
        <v>50</v>
      </c>
      <c r="C120" s="230" t="s">
        <v>135</v>
      </c>
      <c r="D120" s="230" t="s">
        <v>135</v>
      </c>
      <c r="E120" s="315" t="str">
        <f t="shared" si="28"/>
        <v>-</v>
      </c>
      <c r="F120" s="230" t="s">
        <v>74</v>
      </c>
      <c r="G120" s="230"/>
      <c r="H120" s="230" t="s">
        <v>74</v>
      </c>
      <c r="I120" s="10">
        <f t="shared" si="23"/>
        <v>0</v>
      </c>
      <c r="J120" s="10">
        <f t="shared" si="29"/>
        <v>24</v>
      </c>
      <c r="K120" s="17" t="e">
        <f t="shared" si="25"/>
        <v>#N/A</v>
      </c>
      <c r="L120" s="17" t="e">
        <f t="shared" si="26"/>
        <v>#N/A</v>
      </c>
      <c r="M120" s="17" t="e">
        <f t="shared" ca="1" si="27"/>
        <v>#N/A</v>
      </c>
      <c r="N120" s="227"/>
      <c r="O120" s="227"/>
      <c r="P120" s="227" t="s">
        <v>74</v>
      </c>
    </row>
    <row r="121" spans="2:16" x14ac:dyDescent="0.2">
      <c r="B121" s="152" t="s">
        <v>50</v>
      </c>
      <c r="C121" s="230" t="s">
        <v>135</v>
      </c>
      <c r="D121" s="230" t="s">
        <v>135</v>
      </c>
      <c r="E121" s="315" t="str">
        <f t="shared" si="28"/>
        <v>-</v>
      </c>
      <c r="F121" s="230" t="s">
        <v>74</v>
      </c>
      <c r="G121" s="230"/>
      <c r="H121" s="230" t="s">
        <v>74</v>
      </c>
      <c r="I121" s="10">
        <f t="shared" si="23"/>
        <v>0</v>
      </c>
      <c r="J121" s="10">
        <f t="shared" si="29"/>
        <v>25</v>
      </c>
      <c r="K121" s="17" t="e">
        <f t="shared" si="25"/>
        <v>#N/A</v>
      </c>
      <c r="L121" s="17" t="e">
        <f t="shared" si="26"/>
        <v>#N/A</v>
      </c>
      <c r="M121" s="17" t="e">
        <f t="shared" ca="1" si="27"/>
        <v>#N/A</v>
      </c>
      <c r="N121" s="227"/>
      <c r="O121" s="227"/>
      <c r="P121" s="227" t="s">
        <v>74</v>
      </c>
    </row>
    <row r="122" spans="2:16" x14ac:dyDescent="0.2">
      <c r="B122" s="152" t="s">
        <v>50</v>
      </c>
      <c r="C122" s="230" t="s">
        <v>135</v>
      </c>
      <c r="D122" s="230" t="s">
        <v>135</v>
      </c>
      <c r="E122" s="315" t="str">
        <f t="shared" si="28"/>
        <v>-</v>
      </c>
      <c r="F122" s="230" t="s">
        <v>74</v>
      </c>
      <c r="G122" s="230"/>
      <c r="H122" s="230" t="s">
        <v>74</v>
      </c>
      <c r="I122" s="10">
        <f t="shared" si="23"/>
        <v>0</v>
      </c>
      <c r="J122" s="10">
        <f t="shared" si="29"/>
        <v>26</v>
      </c>
      <c r="K122" s="17" t="e">
        <f t="shared" si="25"/>
        <v>#N/A</v>
      </c>
      <c r="L122" s="17" t="e">
        <f t="shared" si="26"/>
        <v>#N/A</v>
      </c>
      <c r="M122" s="17" t="e">
        <f t="shared" ca="1" si="27"/>
        <v>#N/A</v>
      </c>
      <c r="N122" s="227"/>
      <c r="O122" s="227"/>
      <c r="P122" s="227" t="s">
        <v>74</v>
      </c>
    </row>
    <row r="123" spans="2:16" x14ac:dyDescent="0.2">
      <c r="B123" s="152" t="s">
        <v>50</v>
      </c>
      <c r="C123" s="230" t="s">
        <v>135</v>
      </c>
      <c r="D123" s="230" t="s">
        <v>135</v>
      </c>
      <c r="E123" s="315" t="str">
        <f t="shared" si="28"/>
        <v>-</v>
      </c>
      <c r="F123" s="230" t="s">
        <v>74</v>
      </c>
      <c r="G123" s="230"/>
      <c r="H123" s="230" t="s">
        <v>74</v>
      </c>
      <c r="I123" s="10">
        <f t="shared" si="23"/>
        <v>0</v>
      </c>
      <c r="J123" s="10">
        <f t="shared" si="29"/>
        <v>27</v>
      </c>
      <c r="K123" s="17" t="e">
        <f t="shared" si="25"/>
        <v>#N/A</v>
      </c>
      <c r="L123" s="17" t="e">
        <f t="shared" si="26"/>
        <v>#N/A</v>
      </c>
      <c r="M123" s="17" t="e">
        <f t="shared" ca="1" si="27"/>
        <v>#N/A</v>
      </c>
      <c r="N123" s="227"/>
      <c r="O123" s="227"/>
      <c r="P123" s="227" t="s">
        <v>74</v>
      </c>
    </row>
    <row r="124" spans="2:16" x14ac:dyDescent="0.2">
      <c r="B124" s="152" t="s">
        <v>50</v>
      </c>
      <c r="C124" s="230" t="s">
        <v>135</v>
      </c>
      <c r="D124" s="230" t="s">
        <v>135</v>
      </c>
      <c r="E124" s="315" t="str">
        <f t="shared" si="28"/>
        <v>-</v>
      </c>
      <c r="F124" s="230" t="s">
        <v>74</v>
      </c>
      <c r="G124" s="230"/>
      <c r="H124" s="230" t="s">
        <v>74</v>
      </c>
      <c r="I124" s="10">
        <f t="shared" si="23"/>
        <v>0</v>
      </c>
      <c r="J124" s="10">
        <f t="shared" si="29"/>
        <v>28</v>
      </c>
      <c r="K124" s="17" t="e">
        <f t="shared" si="25"/>
        <v>#N/A</v>
      </c>
      <c r="L124" s="17" t="e">
        <f t="shared" si="26"/>
        <v>#N/A</v>
      </c>
      <c r="M124" s="17" t="e">
        <f t="shared" ca="1" si="27"/>
        <v>#N/A</v>
      </c>
      <c r="N124" s="227"/>
      <c r="O124" s="227"/>
      <c r="P124" s="227" t="s">
        <v>74</v>
      </c>
    </row>
    <row r="125" spans="2:16" x14ac:dyDescent="0.2">
      <c r="B125" s="152" t="s">
        <v>50</v>
      </c>
      <c r="C125" s="230" t="s">
        <v>135</v>
      </c>
      <c r="D125" s="230" t="s">
        <v>135</v>
      </c>
      <c r="E125" s="315" t="str">
        <f t="shared" si="28"/>
        <v>-</v>
      </c>
      <c r="F125" s="230" t="s">
        <v>74</v>
      </c>
      <c r="G125" s="230"/>
      <c r="H125" s="230" t="s">
        <v>74</v>
      </c>
      <c r="I125" s="10">
        <f t="shared" si="23"/>
        <v>0</v>
      </c>
      <c r="J125" s="10">
        <f t="shared" si="29"/>
        <v>29</v>
      </c>
      <c r="K125" s="17" t="e">
        <f t="shared" si="25"/>
        <v>#N/A</v>
      </c>
      <c r="L125" s="17" t="e">
        <f t="shared" si="26"/>
        <v>#N/A</v>
      </c>
      <c r="M125" s="17" t="e">
        <f t="shared" ca="1" si="27"/>
        <v>#N/A</v>
      </c>
      <c r="N125" s="227"/>
      <c r="O125" s="227"/>
      <c r="P125" s="227" t="s">
        <v>74</v>
      </c>
    </row>
    <row r="126" spans="2:16" x14ac:dyDescent="0.2">
      <c r="B126" s="152" t="s">
        <v>50</v>
      </c>
      <c r="C126" s="230" t="s">
        <v>135</v>
      </c>
      <c r="D126" s="230" t="s">
        <v>135</v>
      </c>
      <c r="E126" s="315" t="str">
        <f t="shared" si="28"/>
        <v>-</v>
      </c>
      <c r="F126" s="230" t="s">
        <v>74</v>
      </c>
      <c r="G126" s="230"/>
      <c r="H126" s="230" t="s">
        <v>74</v>
      </c>
      <c r="I126" s="10">
        <f t="shared" si="23"/>
        <v>0</v>
      </c>
      <c r="J126" s="10">
        <f t="shared" si="29"/>
        <v>30</v>
      </c>
      <c r="K126" s="17" t="e">
        <f t="shared" si="25"/>
        <v>#N/A</v>
      </c>
      <c r="L126" s="17" t="e">
        <f t="shared" si="26"/>
        <v>#N/A</v>
      </c>
      <c r="M126" s="17" t="e">
        <f t="shared" ca="1" si="27"/>
        <v>#N/A</v>
      </c>
      <c r="N126" s="227"/>
      <c r="O126" s="227"/>
      <c r="P126" s="227" t="s">
        <v>74</v>
      </c>
    </row>
    <row r="127" spans="2:16" x14ac:dyDescent="0.2">
      <c r="B127" s="152" t="s">
        <v>50</v>
      </c>
      <c r="C127" s="230" t="s">
        <v>135</v>
      </c>
      <c r="D127" s="230" t="s">
        <v>135</v>
      </c>
      <c r="E127" s="315" t="str">
        <f t="shared" si="28"/>
        <v>-</v>
      </c>
      <c r="F127" s="230" t="s">
        <v>74</v>
      </c>
      <c r="G127" s="230"/>
      <c r="H127" s="230" t="s">
        <v>74</v>
      </c>
      <c r="I127" s="10">
        <f t="shared" si="23"/>
        <v>0</v>
      </c>
      <c r="J127" s="10">
        <f t="shared" si="29"/>
        <v>31</v>
      </c>
      <c r="K127" s="17" t="e">
        <f t="shared" si="25"/>
        <v>#N/A</v>
      </c>
      <c r="L127" s="17" t="e">
        <f t="shared" si="26"/>
        <v>#N/A</v>
      </c>
      <c r="M127" s="17" t="e">
        <f t="shared" ca="1" si="27"/>
        <v>#N/A</v>
      </c>
      <c r="N127" s="227"/>
      <c r="O127" s="227"/>
      <c r="P127" s="227" t="s">
        <v>74</v>
      </c>
    </row>
    <row r="128" spans="2:16" ht="16" thickBot="1" x14ac:dyDescent="0.25">
      <c r="B128" s="136" t="s">
        <v>50</v>
      </c>
      <c r="C128" s="137" t="s">
        <v>135</v>
      </c>
      <c r="D128" s="137" t="s">
        <v>135</v>
      </c>
      <c r="E128" s="317" t="str">
        <f t="shared" si="28"/>
        <v>-</v>
      </c>
      <c r="F128" s="137" t="s">
        <v>74</v>
      </c>
      <c r="G128" s="137"/>
      <c r="H128" s="137" t="s">
        <v>74</v>
      </c>
      <c r="I128" s="12">
        <f t="shared" si="23"/>
        <v>0</v>
      </c>
      <c r="J128" s="12">
        <f t="shared" si="29"/>
        <v>32</v>
      </c>
      <c r="K128" s="18" t="e">
        <f t="shared" si="25"/>
        <v>#N/A</v>
      </c>
      <c r="L128" s="18" t="e">
        <f t="shared" si="26"/>
        <v>#N/A</v>
      </c>
      <c r="M128" s="18" t="e">
        <f t="shared" ca="1" si="27"/>
        <v>#N/A</v>
      </c>
      <c r="N128" s="228"/>
      <c r="O128" s="228"/>
      <c r="P128" s="228" t="s">
        <v>74</v>
      </c>
    </row>
    <row r="129" spans="2:16" x14ac:dyDescent="0.2">
      <c r="B129" s="255" t="s">
        <v>50</v>
      </c>
      <c r="C129" s="256" t="s">
        <v>135</v>
      </c>
      <c r="D129" s="256" t="s">
        <v>135</v>
      </c>
      <c r="E129" s="320" t="str">
        <f t="shared" si="28"/>
        <v>-</v>
      </c>
      <c r="F129" s="256" t="s">
        <v>74</v>
      </c>
      <c r="G129" s="325"/>
      <c r="H129" s="256" t="s">
        <v>74</v>
      </c>
      <c r="I129" s="254">
        <f t="shared" ref="I129:I160" si="30">IF(LEFT(H129,4)="BASE",0,IF(LEFT(H129,3)="IOX", VALUE(MID(H129,4,2))*VALUE(RIGHT(H129,1)),0))</f>
        <v>0</v>
      </c>
      <c r="J129" s="5">
        <v>1</v>
      </c>
      <c r="K129" s="15" t="e">
        <f t="shared" si="25"/>
        <v>#N/A</v>
      </c>
      <c r="L129" s="15" t="e">
        <f t="shared" si="26"/>
        <v>#N/A</v>
      </c>
      <c r="M129" s="15" t="e">
        <f t="shared" ca="1" si="27"/>
        <v>#N/A</v>
      </c>
      <c r="N129" s="226"/>
      <c r="O129" s="226"/>
      <c r="P129" s="226" t="s">
        <v>74</v>
      </c>
    </row>
    <row r="130" spans="2:16" x14ac:dyDescent="0.2">
      <c r="B130" s="152" t="s">
        <v>50</v>
      </c>
      <c r="C130" s="230" t="s">
        <v>135</v>
      </c>
      <c r="D130" s="230" t="s">
        <v>135</v>
      </c>
      <c r="E130" s="315" t="str">
        <f t="shared" si="28"/>
        <v>-</v>
      </c>
      <c r="F130" s="230" t="s">
        <v>74</v>
      </c>
      <c r="G130" s="230"/>
      <c r="H130" s="230" t="s">
        <v>74</v>
      </c>
      <c r="I130" s="10">
        <f t="shared" si="30"/>
        <v>0</v>
      </c>
      <c r="J130" s="6">
        <f t="shared" ref="J130:J160" si="31">IF(AND(H130=H129,B130=B129), J129+1,1)</f>
        <v>2</v>
      </c>
      <c r="K130" s="16" t="e">
        <f t="shared" si="25"/>
        <v>#N/A</v>
      </c>
      <c r="L130" s="16" t="e">
        <f t="shared" si="26"/>
        <v>#N/A</v>
      </c>
      <c r="M130" s="16" t="e">
        <f t="shared" ca="1" si="27"/>
        <v>#N/A</v>
      </c>
      <c r="N130" s="227"/>
      <c r="O130" s="227"/>
      <c r="P130" s="227" t="s">
        <v>74</v>
      </c>
    </row>
    <row r="131" spans="2:16" x14ac:dyDescent="0.2">
      <c r="B131" s="152" t="s">
        <v>50</v>
      </c>
      <c r="C131" s="230" t="s">
        <v>135</v>
      </c>
      <c r="D131" s="230" t="s">
        <v>135</v>
      </c>
      <c r="E131" s="315" t="str">
        <f t="shared" si="28"/>
        <v>-</v>
      </c>
      <c r="F131" s="230" t="s">
        <v>74</v>
      </c>
      <c r="G131" s="230"/>
      <c r="H131" s="230" t="s">
        <v>74</v>
      </c>
      <c r="I131" s="10">
        <f t="shared" si="30"/>
        <v>0</v>
      </c>
      <c r="J131" s="6">
        <f t="shared" si="31"/>
        <v>3</v>
      </c>
      <c r="K131" s="16" t="e">
        <f t="shared" si="25"/>
        <v>#N/A</v>
      </c>
      <c r="L131" s="16" t="e">
        <f t="shared" si="26"/>
        <v>#N/A</v>
      </c>
      <c r="M131" s="16" t="e">
        <f t="shared" ca="1" si="27"/>
        <v>#N/A</v>
      </c>
      <c r="N131" s="227"/>
      <c r="O131" s="227"/>
      <c r="P131" s="227" t="s">
        <v>74</v>
      </c>
    </row>
    <row r="132" spans="2:16" x14ac:dyDescent="0.2">
      <c r="B132" s="152" t="s">
        <v>50</v>
      </c>
      <c r="C132" s="230" t="s">
        <v>135</v>
      </c>
      <c r="D132" s="230" t="s">
        <v>135</v>
      </c>
      <c r="E132" s="315" t="str">
        <f t="shared" si="28"/>
        <v>-</v>
      </c>
      <c r="F132" s="230" t="s">
        <v>74</v>
      </c>
      <c r="G132" s="230"/>
      <c r="H132" s="230" t="s">
        <v>74</v>
      </c>
      <c r="I132" s="10">
        <f t="shared" si="30"/>
        <v>0</v>
      </c>
      <c r="J132" s="6">
        <f t="shared" si="31"/>
        <v>4</v>
      </c>
      <c r="K132" s="16" t="e">
        <f t="shared" si="25"/>
        <v>#N/A</v>
      </c>
      <c r="L132" s="16" t="e">
        <f t="shared" si="26"/>
        <v>#N/A</v>
      </c>
      <c r="M132" s="16" t="e">
        <f t="shared" ca="1" si="27"/>
        <v>#N/A</v>
      </c>
      <c r="N132" s="227"/>
      <c r="O132" s="227"/>
      <c r="P132" s="227" t="s">
        <v>74</v>
      </c>
    </row>
    <row r="133" spans="2:16" x14ac:dyDescent="0.2">
      <c r="B133" s="152" t="s">
        <v>50</v>
      </c>
      <c r="C133" s="230" t="s">
        <v>135</v>
      </c>
      <c r="D133" s="230" t="s">
        <v>135</v>
      </c>
      <c r="E133" s="315" t="str">
        <f t="shared" si="28"/>
        <v>-</v>
      </c>
      <c r="F133" s="230" t="s">
        <v>74</v>
      </c>
      <c r="G133" s="230"/>
      <c r="H133" s="230" t="s">
        <v>74</v>
      </c>
      <c r="I133" s="10">
        <f t="shared" si="30"/>
        <v>0</v>
      </c>
      <c r="J133" s="10">
        <f t="shared" si="31"/>
        <v>5</v>
      </c>
      <c r="K133" s="17" t="e">
        <f t="shared" si="25"/>
        <v>#N/A</v>
      </c>
      <c r="L133" s="17" t="e">
        <f t="shared" si="26"/>
        <v>#N/A</v>
      </c>
      <c r="M133" s="17" t="e">
        <f t="shared" ca="1" si="27"/>
        <v>#N/A</v>
      </c>
      <c r="N133" s="227"/>
      <c r="O133" s="227"/>
      <c r="P133" s="227" t="s">
        <v>74</v>
      </c>
    </row>
    <row r="134" spans="2:16" x14ac:dyDescent="0.2">
      <c r="B134" s="152" t="s">
        <v>50</v>
      </c>
      <c r="C134" s="230" t="s">
        <v>135</v>
      </c>
      <c r="D134" s="230" t="s">
        <v>135</v>
      </c>
      <c r="E134" s="315" t="str">
        <f t="shared" si="28"/>
        <v>-</v>
      </c>
      <c r="F134" s="230" t="s">
        <v>74</v>
      </c>
      <c r="G134" s="230"/>
      <c r="H134" s="230" t="s">
        <v>74</v>
      </c>
      <c r="I134" s="10">
        <f t="shared" si="30"/>
        <v>0</v>
      </c>
      <c r="J134" s="10">
        <f t="shared" si="31"/>
        <v>6</v>
      </c>
      <c r="K134" s="17" t="e">
        <f t="shared" si="25"/>
        <v>#N/A</v>
      </c>
      <c r="L134" s="17" t="e">
        <f t="shared" si="26"/>
        <v>#N/A</v>
      </c>
      <c r="M134" s="17" t="e">
        <f t="shared" ca="1" si="27"/>
        <v>#N/A</v>
      </c>
      <c r="N134" s="227"/>
      <c r="O134" s="227"/>
      <c r="P134" s="227" t="s">
        <v>74</v>
      </c>
    </row>
    <row r="135" spans="2:16" x14ac:dyDescent="0.2">
      <c r="B135" s="152" t="s">
        <v>50</v>
      </c>
      <c r="C135" s="230" t="s">
        <v>135</v>
      </c>
      <c r="D135" s="230" t="s">
        <v>135</v>
      </c>
      <c r="E135" s="315" t="str">
        <f t="shared" si="28"/>
        <v>-</v>
      </c>
      <c r="F135" s="230" t="s">
        <v>74</v>
      </c>
      <c r="G135" s="230"/>
      <c r="H135" s="230" t="s">
        <v>74</v>
      </c>
      <c r="I135" s="10">
        <f t="shared" si="30"/>
        <v>0</v>
      </c>
      <c r="J135" s="10">
        <f t="shared" si="31"/>
        <v>7</v>
      </c>
      <c r="K135" s="17" t="e">
        <f t="shared" si="25"/>
        <v>#N/A</v>
      </c>
      <c r="L135" s="17" t="e">
        <f t="shared" si="26"/>
        <v>#N/A</v>
      </c>
      <c r="M135" s="17" t="e">
        <f t="shared" ca="1" si="27"/>
        <v>#N/A</v>
      </c>
      <c r="N135" s="227"/>
      <c r="O135" s="227"/>
      <c r="P135" s="227" t="s">
        <v>74</v>
      </c>
    </row>
    <row r="136" spans="2:16" x14ac:dyDescent="0.2">
      <c r="B136" s="152" t="s">
        <v>50</v>
      </c>
      <c r="C136" s="230" t="s">
        <v>135</v>
      </c>
      <c r="D136" s="230" t="s">
        <v>135</v>
      </c>
      <c r="E136" s="315" t="str">
        <f t="shared" si="28"/>
        <v>-</v>
      </c>
      <c r="F136" s="230" t="s">
        <v>74</v>
      </c>
      <c r="G136" s="230"/>
      <c r="H136" s="230" t="s">
        <v>74</v>
      </c>
      <c r="I136" s="10">
        <f t="shared" si="30"/>
        <v>0</v>
      </c>
      <c r="J136" s="10">
        <f t="shared" si="31"/>
        <v>8</v>
      </c>
      <c r="K136" s="17" t="e">
        <f t="shared" si="25"/>
        <v>#N/A</v>
      </c>
      <c r="L136" s="17" t="e">
        <f t="shared" si="26"/>
        <v>#N/A</v>
      </c>
      <c r="M136" s="17" t="e">
        <f t="shared" ca="1" si="27"/>
        <v>#N/A</v>
      </c>
      <c r="N136" s="227"/>
      <c r="O136" s="227"/>
      <c r="P136" s="227" t="s">
        <v>74</v>
      </c>
    </row>
    <row r="137" spans="2:16" x14ac:dyDescent="0.2">
      <c r="B137" s="152" t="s">
        <v>50</v>
      </c>
      <c r="C137" s="230" t="s">
        <v>135</v>
      </c>
      <c r="D137" s="230" t="s">
        <v>135</v>
      </c>
      <c r="E137" s="315" t="str">
        <f t="shared" si="28"/>
        <v>-</v>
      </c>
      <c r="F137" s="230" t="s">
        <v>74</v>
      </c>
      <c r="G137" s="230"/>
      <c r="H137" s="230" t="s">
        <v>74</v>
      </c>
      <c r="I137" s="10">
        <f t="shared" si="30"/>
        <v>0</v>
      </c>
      <c r="J137" s="10">
        <f t="shared" si="31"/>
        <v>9</v>
      </c>
      <c r="K137" s="17" t="e">
        <f t="shared" si="25"/>
        <v>#N/A</v>
      </c>
      <c r="L137" s="17" t="e">
        <f t="shared" si="26"/>
        <v>#N/A</v>
      </c>
      <c r="M137" s="17" t="e">
        <f t="shared" ca="1" si="27"/>
        <v>#N/A</v>
      </c>
      <c r="N137" s="227"/>
      <c r="O137" s="227"/>
      <c r="P137" s="227" t="s">
        <v>74</v>
      </c>
    </row>
    <row r="138" spans="2:16" x14ac:dyDescent="0.2">
      <c r="B138" s="152" t="s">
        <v>50</v>
      </c>
      <c r="C138" s="230" t="s">
        <v>135</v>
      </c>
      <c r="D138" s="230" t="s">
        <v>135</v>
      </c>
      <c r="E138" s="315" t="str">
        <f t="shared" si="28"/>
        <v>-</v>
      </c>
      <c r="F138" s="230" t="s">
        <v>74</v>
      </c>
      <c r="G138" s="230"/>
      <c r="H138" s="230" t="s">
        <v>74</v>
      </c>
      <c r="I138" s="10">
        <f t="shared" si="30"/>
        <v>0</v>
      </c>
      <c r="J138" s="10">
        <f t="shared" si="31"/>
        <v>10</v>
      </c>
      <c r="K138" s="17" t="e">
        <f t="shared" si="25"/>
        <v>#N/A</v>
      </c>
      <c r="L138" s="17" t="e">
        <f t="shared" si="26"/>
        <v>#N/A</v>
      </c>
      <c r="M138" s="17" t="e">
        <f t="shared" ca="1" si="27"/>
        <v>#N/A</v>
      </c>
      <c r="N138" s="227"/>
      <c r="O138" s="227"/>
      <c r="P138" s="227" t="s">
        <v>74</v>
      </c>
    </row>
    <row r="139" spans="2:16" x14ac:dyDescent="0.2">
      <c r="B139" s="152" t="s">
        <v>50</v>
      </c>
      <c r="C139" s="230" t="s">
        <v>135</v>
      </c>
      <c r="D139" s="230" t="s">
        <v>135</v>
      </c>
      <c r="E139" s="315" t="str">
        <f t="shared" si="28"/>
        <v>-</v>
      </c>
      <c r="F139" s="230" t="s">
        <v>74</v>
      </c>
      <c r="G139" s="230"/>
      <c r="H139" s="230" t="s">
        <v>74</v>
      </c>
      <c r="I139" s="10">
        <f t="shared" si="30"/>
        <v>0</v>
      </c>
      <c r="J139" s="10">
        <f t="shared" si="31"/>
        <v>11</v>
      </c>
      <c r="K139" s="17" t="e">
        <f t="shared" si="25"/>
        <v>#N/A</v>
      </c>
      <c r="L139" s="17" t="e">
        <f t="shared" si="26"/>
        <v>#N/A</v>
      </c>
      <c r="M139" s="17" t="e">
        <f t="shared" ca="1" si="27"/>
        <v>#N/A</v>
      </c>
      <c r="N139" s="227"/>
      <c r="O139" s="227"/>
      <c r="P139" s="227" t="s">
        <v>74</v>
      </c>
    </row>
    <row r="140" spans="2:16" x14ac:dyDescent="0.2">
      <c r="B140" s="152" t="s">
        <v>50</v>
      </c>
      <c r="C140" s="230" t="s">
        <v>135</v>
      </c>
      <c r="D140" s="230" t="s">
        <v>135</v>
      </c>
      <c r="E140" s="315" t="str">
        <f t="shared" si="28"/>
        <v>-</v>
      </c>
      <c r="F140" s="230" t="s">
        <v>74</v>
      </c>
      <c r="G140" s="230"/>
      <c r="H140" s="230" t="s">
        <v>74</v>
      </c>
      <c r="I140" s="10">
        <f t="shared" si="30"/>
        <v>0</v>
      </c>
      <c r="J140" s="10">
        <f t="shared" si="31"/>
        <v>12</v>
      </c>
      <c r="K140" s="17" t="e">
        <f t="shared" si="25"/>
        <v>#N/A</v>
      </c>
      <c r="L140" s="17" t="e">
        <f t="shared" si="26"/>
        <v>#N/A</v>
      </c>
      <c r="M140" s="17" t="e">
        <f t="shared" ca="1" si="27"/>
        <v>#N/A</v>
      </c>
      <c r="N140" s="227"/>
      <c r="O140" s="227"/>
      <c r="P140" s="227" t="s">
        <v>74</v>
      </c>
    </row>
    <row r="141" spans="2:16" x14ac:dyDescent="0.2">
      <c r="B141" s="152" t="s">
        <v>50</v>
      </c>
      <c r="C141" s="230" t="s">
        <v>135</v>
      </c>
      <c r="D141" s="230" t="s">
        <v>135</v>
      </c>
      <c r="E141" s="315" t="str">
        <f t="shared" si="28"/>
        <v>-</v>
      </c>
      <c r="F141" s="230" t="s">
        <v>74</v>
      </c>
      <c r="G141" s="230"/>
      <c r="H141" s="230" t="s">
        <v>74</v>
      </c>
      <c r="I141" s="10">
        <f t="shared" si="30"/>
        <v>0</v>
      </c>
      <c r="J141" s="10">
        <f t="shared" si="31"/>
        <v>13</v>
      </c>
      <c r="K141" s="17" t="e">
        <f t="shared" si="25"/>
        <v>#N/A</v>
      </c>
      <c r="L141" s="17" t="e">
        <f t="shared" si="26"/>
        <v>#N/A</v>
      </c>
      <c r="M141" s="17" t="e">
        <f t="shared" ca="1" si="27"/>
        <v>#N/A</v>
      </c>
      <c r="N141" s="227"/>
      <c r="O141" s="227"/>
      <c r="P141" s="227" t="s">
        <v>74</v>
      </c>
    </row>
    <row r="142" spans="2:16" x14ac:dyDescent="0.2">
      <c r="B142" s="152" t="s">
        <v>50</v>
      </c>
      <c r="C142" s="230" t="s">
        <v>135</v>
      </c>
      <c r="D142" s="230" t="s">
        <v>135</v>
      </c>
      <c r="E142" s="315" t="str">
        <f t="shared" si="28"/>
        <v>-</v>
      </c>
      <c r="F142" s="230" t="s">
        <v>74</v>
      </c>
      <c r="G142" s="230"/>
      <c r="H142" s="230" t="s">
        <v>74</v>
      </c>
      <c r="I142" s="10">
        <f t="shared" si="30"/>
        <v>0</v>
      </c>
      <c r="J142" s="10">
        <f t="shared" si="31"/>
        <v>14</v>
      </c>
      <c r="K142" s="17" t="e">
        <f t="shared" si="25"/>
        <v>#N/A</v>
      </c>
      <c r="L142" s="17" t="e">
        <f t="shared" si="26"/>
        <v>#N/A</v>
      </c>
      <c r="M142" s="17" t="e">
        <f t="shared" ca="1" si="27"/>
        <v>#N/A</v>
      </c>
      <c r="N142" s="227"/>
      <c r="O142" s="227"/>
      <c r="P142" s="227" t="s">
        <v>74</v>
      </c>
    </row>
    <row r="143" spans="2:16" x14ac:dyDescent="0.2">
      <c r="B143" s="152" t="s">
        <v>50</v>
      </c>
      <c r="C143" s="230" t="s">
        <v>135</v>
      </c>
      <c r="D143" s="230" t="s">
        <v>135</v>
      </c>
      <c r="E143" s="315" t="str">
        <f t="shared" si="28"/>
        <v>-</v>
      </c>
      <c r="F143" s="230" t="s">
        <v>74</v>
      </c>
      <c r="G143" s="230"/>
      <c r="H143" s="230" t="s">
        <v>74</v>
      </c>
      <c r="I143" s="10">
        <f t="shared" si="30"/>
        <v>0</v>
      </c>
      <c r="J143" s="10">
        <f t="shared" si="31"/>
        <v>15</v>
      </c>
      <c r="K143" s="17" t="e">
        <f t="shared" si="25"/>
        <v>#N/A</v>
      </c>
      <c r="L143" s="17" t="e">
        <f t="shared" si="26"/>
        <v>#N/A</v>
      </c>
      <c r="M143" s="17" t="e">
        <f t="shared" ca="1" si="27"/>
        <v>#N/A</v>
      </c>
      <c r="N143" s="227"/>
      <c r="O143" s="227"/>
      <c r="P143" s="227" t="s">
        <v>74</v>
      </c>
    </row>
    <row r="144" spans="2:16" x14ac:dyDescent="0.2">
      <c r="B144" s="152" t="s">
        <v>50</v>
      </c>
      <c r="C144" s="230" t="s">
        <v>135</v>
      </c>
      <c r="D144" s="230" t="s">
        <v>135</v>
      </c>
      <c r="E144" s="315" t="str">
        <f t="shared" si="28"/>
        <v>-</v>
      </c>
      <c r="F144" s="230" t="s">
        <v>74</v>
      </c>
      <c r="G144" s="230"/>
      <c r="H144" s="230" t="s">
        <v>74</v>
      </c>
      <c r="I144" s="10">
        <f t="shared" si="30"/>
        <v>0</v>
      </c>
      <c r="J144" s="10">
        <f t="shared" si="31"/>
        <v>16</v>
      </c>
      <c r="K144" s="17" t="e">
        <f t="shared" si="25"/>
        <v>#N/A</v>
      </c>
      <c r="L144" s="17" t="e">
        <f t="shared" si="26"/>
        <v>#N/A</v>
      </c>
      <c r="M144" s="17" t="e">
        <f t="shared" ca="1" si="27"/>
        <v>#N/A</v>
      </c>
      <c r="N144" s="227"/>
      <c r="O144" s="227"/>
      <c r="P144" s="227" t="s">
        <v>74</v>
      </c>
    </row>
    <row r="145" spans="2:16" x14ac:dyDescent="0.2">
      <c r="B145" s="152" t="s">
        <v>50</v>
      </c>
      <c r="C145" s="230" t="s">
        <v>135</v>
      </c>
      <c r="D145" s="230" t="s">
        <v>135</v>
      </c>
      <c r="E145" s="315" t="str">
        <f t="shared" si="28"/>
        <v>-</v>
      </c>
      <c r="F145" s="230" t="s">
        <v>74</v>
      </c>
      <c r="G145" s="230"/>
      <c r="H145" s="230" t="s">
        <v>74</v>
      </c>
      <c r="I145" s="10">
        <f t="shared" si="30"/>
        <v>0</v>
      </c>
      <c r="J145" s="10">
        <f t="shared" si="31"/>
        <v>17</v>
      </c>
      <c r="K145" s="17" t="e">
        <f t="shared" ref="K145:K160" si="32">VLOOKUP(H145,nodeDevicePinConfigTable,3+J145+(IF(B145="IN",0,1)*VLOOKUP(H145,nodeDevicePinConfigTable,2,TRUE)),TRUE)</f>
        <v>#N/A</v>
      </c>
      <c r="L145" s="17" t="e">
        <f t="shared" ref="L145:L160" si="33">VLOOKUP(H145,nodeJMRIPinConfigTable,3+J145+(IF(B145="IN",0,1)*VLOOKUP(H145,nodeJMRIPinConfigTable,2,TRUE)),TRUE)</f>
        <v>#N/A</v>
      </c>
      <c r="M145" s="17" t="e">
        <f t="shared" ref="M145:M160" ca="1" si="34">CONCATENATE(LEFT(L145,2),$D$5*1000+VALUE(RIGHT(L145,3)+I145))</f>
        <v>#N/A</v>
      </c>
      <c r="N145" s="227"/>
      <c r="O145" s="227"/>
      <c r="P145" s="227" t="s">
        <v>74</v>
      </c>
    </row>
    <row r="146" spans="2:16" x14ac:dyDescent="0.2">
      <c r="B146" s="152" t="s">
        <v>50</v>
      </c>
      <c r="C146" s="230" t="s">
        <v>135</v>
      </c>
      <c r="D146" s="230" t="s">
        <v>135</v>
      </c>
      <c r="E146" s="315" t="str">
        <f t="shared" ref="E146:E160" si="35">IF(P146="-",P146,_xlfn.CONCAT(C146,":",P146))</f>
        <v>-</v>
      </c>
      <c r="F146" s="230" t="s">
        <v>74</v>
      </c>
      <c r="G146" s="230"/>
      <c r="H146" s="230" t="s">
        <v>74</v>
      </c>
      <c r="I146" s="10">
        <f t="shared" si="30"/>
        <v>0</v>
      </c>
      <c r="J146" s="10">
        <f t="shared" si="31"/>
        <v>18</v>
      </c>
      <c r="K146" s="17" t="e">
        <f t="shared" si="32"/>
        <v>#N/A</v>
      </c>
      <c r="L146" s="17" t="e">
        <f t="shared" si="33"/>
        <v>#N/A</v>
      </c>
      <c r="M146" s="17" t="e">
        <f t="shared" ca="1" si="34"/>
        <v>#N/A</v>
      </c>
      <c r="N146" s="227"/>
      <c r="O146" s="227"/>
      <c r="P146" s="227" t="s">
        <v>74</v>
      </c>
    </row>
    <row r="147" spans="2:16" x14ac:dyDescent="0.2">
      <c r="B147" s="152" t="s">
        <v>50</v>
      </c>
      <c r="C147" s="230" t="s">
        <v>135</v>
      </c>
      <c r="D147" s="230" t="s">
        <v>135</v>
      </c>
      <c r="E147" s="315" t="str">
        <f t="shared" si="35"/>
        <v>-</v>
      </c>
      <c r="F147" s="230" t="s">
        <v>74</v>
      </c>
      <c r="G147" s="230"/>
      <c r="H147" s="230" t="s">
        <v>74</v>
      </c>
      <c r="I147" s="10">
        <f t="shared" si="30"/>
        <v>0</v>
      </c>
      <c r="J147" s="10">
        <f t="shared" si="31"/>
        <v>19</v>
      </c>
      <c r="K147" s="17" t="e">
        <f t="shared" si="32"/>
        <v>#N/A</v>
      </c>
      <c r="L147" s="17" t="e">
        <f t="shared" si="33"/>
        <v>#N/A</v>
      </c>
      <c r="M147" s="17" t="e">
        <f t="shared" ca="1" si="34"/>
        <v>#N/A</v>
      </c>
      <c r="N147" s="227"/>
      <c r="O147" s="227"/>
      <c r="P147" s="227" t="s">
        <v>74</v>
      </c>
    </row>
    <row r="148" spans="2:16" x14ac:dyDescent="0.2">
      <c r="B148" s="152" t="s">
        <v>50</v>
      </c>
      <c r="C148" s="230" t="s">
        <v>135</v>
      </c>
      <c r="D148" s="230" t="s">
        <v>135</v>
      </c>
      <c r="E148" s="315" t="str">
        <f t="shared" si="35"/>
        <v>-</v>
      </c>
      <c r="F148" s="230" t="s">
        <v>74</v>
      </c>
      <c r="G148" s="230"/>
      <c r="H148" s="230" t="s">
        <v>74</v>
      </c>
      <c r="I148" s="10">
        <f t="shared" si="30"/>
        <v>0</v>
      </c>
      <c r="J148" s="10">
        <f t="shared" si="31"/>
        <v>20</v>
      </c>
      <c r="K148" s="17" t="e">
        <f t="shared" si="32"/>
        <v>#N/A</v>
      </c>
      <c r="L148" s="17" t="e">
        <f t="shared" si="33"/>
        <v>#N/A</v>
      </c>
      <c r="M148" s="17" t="e">
        <f t="shared" ca="1" si="34"/>
        <v>#N/A</v>
      </c>
      <c r="N148" s="227"/>
      <c r="O148" s="227"/>
      <c r="P148" s="227" t="s">
        <v>74</v>
      </c>
    </row>
    <row r="149" spans="2:16" x14ac:dyDescent="0.2">
      <c r="B149" s="152" t="s">
        <v>50</v>
      </c>
      <c r="C149" s="230" t="s">
        <v>135</v>
      </c>
      <c r="D149" s="230" t="s">
        <v>135</v>
      </c>
      <c r="E149" s="315" t="str">
        <f t="shared" si="35"/>
        <v>-</v>
      </c>
      <c r="F149" s="230" t="s">
        <v>74</v>
      </c>
      <c r="G149" s="230"/>
      <c r="H149" s="230" t="s">
        <v>74</v>
      </c>
      <c r="I149" s="10">
        <f t="shared" si="30"/>
        <v>0</v>
      </c>
      <c r="J149" s="10">
        <f t="shared" si="31"/>
        <v>21</v>
      </c>
      <c r="K149" s="17" t="e">
        <f t="shared" si="32"/>
        <v>#N/A</v>
      </c>
      <c r="L149" s="17" t="e">
        <f t="shared" si="33"/>
        <v>#N/A</v>
      </c>
      <c r="M149" s="17" t="e">
        <f t="shared" ca="1" si="34"/>
        <v>#N/A</v>
      </c>
      <c r="N149" s="227"/>
      <c r="O149" s="227"/>
      <c r="P149" s="227" t="s">
        <v>74</v>
      </c>
    </row>
    <row r="150" spans="2:16" x14ac:dyDescent="0.2">
      <c r="B150" s="152" t="s">
        <v>50</v>
      </c>
      <c r="C150" s="230" t="s">
        <v>135</v>
      </c>
      <c r="D150" s="230" t="s">
        <v>135</v>
      </c>
      <c r="E150" s="315" t="str">
        <f t="shared" si="35"/>
        <v>-</v>
      </c>
      <c r="F150" s="230" t="s">
        <v>74</v>
      </c>
      <c r="G150" s="230"/>
      <c r="H150" s="230" t="s">
        <v>74</v>
      </c>
      <c r="I150" s="10">
        <f t="shared" si="30"/>
        <v>0</v>
      </c>
      <c r="J150" s="10">
        <f t="shared" si="31"/>
        <v>22</v>
      </c>
      <c r="K150" s="17" t="e">
        <f t="shared" si="32"/>
        <v>#N/A</v>
      </c>
      <c r="L150" s="17" t="e">
        <f t="shared" si="33"/>
        <v>#N/A</v>
      </c>
      <c r="M150" s="17" t="e">
        <f t="shared" ca="1" si="34"/>
        <v>#N/A</v>
      </c>
      <c r="N150" s="227"/>
      <c r="O150" s="227"/>
      <c r="P150" s="227" t="s">
        <v>74</v>
      </c>
    </row>
    <row r="151" spans="2:16" x14ac:dyDescent="0.2">
      <c r="B151" s="152" t="s">
        <v>50</v>
      </c>
      <c r="C151" s="230" t="s">
        <v>135</v>
      </c>
      <c r="D151" s="230" t="s">
        <v>135</v>
      </c>
      <c r="E151" s="315" t="str">
        <f t="shared" si="35"/>
        <v>-</v>
      </c>
      <c r="F151" s="230" t="s">
        <v>74</v>
      </c>
      <c r="G151" s="230"/>
      <c r="H151" s="230" t="s">
        <v>74</v>
      </c>
      <c r="I151" s="10">
        <f t="shared" si="30"/>
        <v>0</v>
      </c>
      <c r="J151" s="10">
        <f t="shared" si="31"/>
        <v>23</v>
      </c>
      <c r="K151" s="17" t="e">
        <f t="shared" si="32"/>
        <v>#N/A</v>
      </c>
      <c r="L151" s="17" t="e">
        <f t="shared" si="33"/>
        <v>#N/A</v>
      </c>
      <c r="M151" s="17" t="e">
        <f t="shared" ca="1" si="34"/>
        <v>#N/A</v>
      </c>
      <c r="N151" s="227"/>
      <c r="O151" s="227"/>
      <c r="P151" s="227" t="s">
        <v>74</v>
      </c>
    </row>
    <row r="152" spans="2:16" x14ac:dyDescent="0.2">
      <c r="B152" s="152" t="s">
        <v>50</v>
      </c>
      <c r="C152" s="230" t="s">
        <v>135</v>
      </c>
      <c r="D152" s="230" t="s">
        <v>135</v>
      </c>
      <c r="E152" s="315" t="str">
        <f t="shared" si="35"/>
        <v>-</v>
      </c>
      <c r="F152" s="230" t="s">
        <v>74</v>
      </c>
      <c r="G152" s="230"/>
      <c r="H152" s="230" t="s">
        <v>74</v>
      </c>
      <c r="I152" s="10">
        <f t="shared" si="30"/>
        <v>0</v>
      </c>
      <c r="J152" s="10">
        <f t="shared" si="31"/>
        <v>24</v>
      </c>
      <c r="K152" s="17" t="e">
        <f t="shared" si="32"/>
        <v>#N/A</v>
      </c>
      <c r="L152" s="17" t="e">
        <f t="shared" si="33"/>
        <v>#N/A</v>
      </c>
      <c r="M152" s="17" t="e">
        <f t="shared" ca="1" si="34"/>
        <v>#N/A</v>
      </c>
      <c r="N152" s="227"/>
      <c r="O152" s="227"/>
      <c r="P152" s="227" t="s">
        <v>74</v>
      </c>
    </row>
    <row r="153" spans="2:16" x14ac:dyDescent="0.2">
      <c r="B153" s="152" t="s">
        <v>50</v>
      </c>
      <c r="C153" s="230" t="s">
        <v>135</v>
      </c>
      <c r="D153" s="230" t="s">
        <v>135</v>
      </c>
      <c r="E153" s="315" t="str">
        <f t="shared" si="35"/>
        <v>-</v>
      </c>
      <c r="F153" s="230" t="s">
        <v>74</v>
      </c>
      <c r="G153" s="230"/>
      <c r="H153" s="230" t="s">
        <v>74</v>
      </c>
      <c r="I153" s="10">
        <f t="shared" si="30"/>
        <v>0</v>
      </c>
      <c r="J153" s="10">
        <f t="shared" si="31"/>
        <v>25</v>
      </c>
      <c r="K153" s="17" t="e">
        <f t="shared" si="32"/>
        <v>#N/A</v>
      </c>
      <c r="L153" s="17" t="e">
        <f t="shared" si="33"/>
        <v>#N/A</v>
      </c>
      <c r="M153" s="17" t="e">
        <f t="shared" ca="1" si="34"/>
        <v>#N/A</v>
      </c>
      <c r="N153" s="227"/>
      <c r="O153" s="227"/>
      <c r="P153" s="227" t="s">
        <v>74</v>
      </c>
    </row>
    <row r="154" spans="2:16" x14ac:dyDescent="0.2">
      <c r="B154" s="152" t="s">
        <v>50</v>
      </c>
      <c r="C154" s="230" t="s">
        <v>135</v>
      </c>
      <c r="D154" s="230" t="s">
        <v>135</v>
      </c>
      <c r="E154" s="315" t="str">
        <f t="shared" si="35"/>
        <v>-</v>
      </c>
      <c r="F154" s="230" t="s">
        <v>74</v>
      </c>
      <c r="G154" s="230"/>
      <c r="H154" s="230" t="s">
        <v>74</v>
      </c>
      <c r="I154" s="10">
        <f t="shared" si="30"/>
        <v>0</v>
      </c>
      <c r="J154" s="10">
        <f t="shared" si="31"/>
        <v>26</v>
      </c>
      <c r="K154" s="17" t="e">
        <f t="shared" si="32"/>
        <v>#N/A</v>
      </c>
      <c r="L154" s="17" t="e">
        <f t="shared" si="33"/>
        <v>#N/A</v>
      </c>
      <c r="M154" s="17" t="e">
        <f t="shared" ca="1" si="34"/>
        <v>#N/A</v>
      </c>
      <c r="N154" s="227"/>
      <c r="O154" s="227"/>
      <c r="P154" s="227" t="s">
        <v>74</v>
      </c>
    </row>
    <row r="155" spans="2:16" x14ac:dyDescent="0.2">
      <c r="B155" s="152" t="s">
        <v>50</v>
      </c>
      <c r="C155" s="230" t="s">
        <v>135</v>
      </c>
      <c r="D155" s="230" t="s">
        <v>135</v>
      </c>
      <c r="E155" s="315" t="str">
        <f t="shared" si="35"/>
        <v>-</v>
      </c>
      <c r="F155" s="230" t="s">
        <v>74</v>
      </c>
      <c r="G155" s="230"/>
      <c r="H155" s="230" t="s">
        <v>74</v>
      </c>
      <c r="I155" s="10">
        <f t="shared" si="30"/>
        <v>0</v>
      </c>
      <c r="J155" s="10">
        <f t="shared" si="31"/>
        <v>27</v>
      </c>
      <c r="K155" s="17" t="e">
        <f t="shared" si="32"/>
        <v>#N/A</v>
      </c>
      <c r="L155" s="17" t="e">
        <f t="shared" si="33"/>
        <v>#N/A</v>
      </c>
      <c r="M155" s="17" t="e">
        <f t="shared" ca="1" si="34"/>
        <v>#N/A</v>
      </c>
      <c r="N155" s="227"/>
      <c r="O155" s="227"/>
      <c r="P155" s="227" t="s">
        <v>74</v>
      </c>
    </row>
    <row r="156" spans="2:16" x14ac:dyDescent="0.2">
      <c r="B156" s="152" t="s">
        <v>50</v>
      </c>
      <c r="C156" s="230" t="s">
        <v>135</v>
      </c>
      <c r="D156" s="230" t="s">
        <v>135</v>
      </c>
      <c r="E156" s="315" t="str">
        <f t="shared" si="35"/>
        <v>-</v>
      </c>
      <c r="F156" s="230" t="s">
        <v>74</v>
      </c>
      <c r="G156" s="230"/>
      <c r="H156" s="230" t="s">
        <v>74</v>
      </c>
      <c r="I156" s="10">
        <f t="shared" si="30"/>
        <v>0</v>
      </c>
      <c r="J156" s="10">
        <f t="shared" si="31"/>
        <v>28</v>
      </c>
      <c r="K156" s="17" t="e">
        <f t="shared" si="32"/>
        <v>#N/A</v>
      </c>
      <c r="L156" s="17" t="e">
        <f t="shared" si="33"/>
        <v>#N/A</v>
      </c>
      <c r="M156" s="17" t="e">
        <f t="shared" ca="1" si="34"/>
        <v>#N/A</v>
      </c>
      <c r="N156" s="227"/>
      <c r="O156" s="227"/>
      <c r="P156" s="227" t="s">
        <v>74</v>
      </c>
    </row>
    <row r="157" spans="2:16" x14ac:dyDescent="0.2">
      <c r="B157" s="152" t="s">
        <v>50</v>
      </c>
      <c r="C157" s="230" t="s">
        <v>135</v>
      </c>
      <c r="D157" s="230" t="s">
        <v>135</v>
      </c>
      <c r="E157" s="315" t="str">
        <f t="shared" si="35"/>
        <v>-</v>
      </c>
      <c r="F157" s="230" t="s">
        <v>74</v>
      </c>
      <c r="G157" s="230"/>
      <c r="H157" s="230" t="s">
        <v>74</v>
      </c>
      <c r="I157" s="10">
        <f t="shared" si="30"/>
        <v>0</v>
      </c>
      <c r="J157" s="10">
        <f t="shared" si="31"/>
        <v>29</v>
      </c>
      <c r="K157" s="17" t="e">
        <f t="shared" si="32"/>
        <v>#N/A</v>
      </c>
      <c r="L157" s="17" t="e">
        <f t="shared" si="33"/>
        <v>#N/A</v>
      </c>
      <c r="M157" s="17" t="e">
        <f t="shared" ca="1" si="34"/>
        <v>#N/A</v>
      </c>
      <c r="N157" s="227"/>
      <c r="O157" s="227"/>
      <c r="P157" s="227" t="s">
        <v>74</v>
      </c>
    </row>
    <row r="158" spans="2:16" x14ac:dyDescent="0.2">
      <c r="B158" s="152" t="s">
        <v>50</v>
      </c>
      <c r="C158" s="230" t="s">
        <v>135</v>
      </c>
      <c r="D158" s="230" t="s">
        <v>135</v>
      </c>
      <c r="E158" s="315" t="str">
        <f t="shared" si="35"/>
        <v>-</v>
      </c>
      <c r="F158" s="230" t="s">
        <v>74</v>
      </c>
      <c r="G158" s="230"/>
      <c r="H158" s="230" t="s">
        <v>74</v>
      </c>
      <c r="I158" s="10">
        <f t="shared" si="30"/>
        <v>0</v>
      </c>
      <c r="J158" s="10">
        <f t="shared" si="31"/>
        <v>30</v>
      </c>
      <c r="K158" s="17" t="e">
        <f t="shared" si="32"/>
        <v>#N/A</v>
      </c>
      <c r="L158" s="17" t="e">
        <f t="shared" si="33"/>
        <v>#N/A</v>
      </c>
      <c r="M158" s="17" t="e">
        <f t="shared" ca="1" si="34"/>
        <v>#N/A</v>
      </c>
      <c r="N158" s="227"/>
      <c r="O158" s="227"/>
      <c r="P158" s="227" t="s">
        <v>74</v>
      </c>
    </row>
    <row r="159" spans="2:16" x14ac:dyDescent="0.2">
      <c r="B159" s="152" t="s">
        <v>50</v>
      </c>
      <c r="C159" s="230" t="s">
        <v>135</v>
      </c>
      <c r="D159" s="230" t="s">
        <v>135</v>
      </c>
      <c r="E159" s="315" t="str">
        <f t="shared" si="35"/>
        <v>-</v>
      </c>
      <c r="F159" s="230" t="s">
        <v>74</v>
      </c>
      <c r="G159" s="230"/>
      <c r="H159" s="230" t="s">
        <v>74</v>
      </c>
      <c r="I159" s="10">
        <f t="shared" si="30"/>
        <v>0</v>
      </c>
      <c r="J159" s="10">
        <f t="shared" si="31"/>
        <v>31</v>
      </c>
      <c r="K159" s="17" t="e">
        <f t="shared" si="32"/>
        <v>#N/A</v>
      </c>
      <c r="L159" s="17" t="e">
        <f t="shared" si="33"/>
        <v>#N/A</v>
      </c>
      <c r="M159" s="17" t="e">
        <f t="shared" ca="1" si="34"/>
        <v>#N/A</v>
      </c>
      <c r="N159" s="227"/>
      <c r="O159" s="227"/>
      <c r="P159" s="227" t="s">
        <v>74</v>
      </c>
    </row>
    <row r="160" spans="2:16" ht="16" thickBot="1" x14ac:dyDescent="0.25">
      <c r="B160" s="136" t="s">
        <v>50</v>
      </c>
      <c r="C160" s="137" t="s">
        <v>135</v>
      </c>
      <c r="D160" s="137" t="s">
        <v>135</v>
      </c>
      <c r="E160" s="317" t="str">
        <f t="shared" si="35"/>
        <v>-</v>
      </c>
      <c r="F160" s="137" t="s">
        <v>74</v>
      </c>
      <c r="G160" s="137"/>
      <c r="H160" s="137" t="s">
        <v>74</v>
      </c>
      <c r="I160" s="12">
        <f t="shared" si="30"/>
        <v>0</v>
      </c>
      <c r="J160" s="12">
        <f t="shared" si="31"/>
        <v>32</v>
      </c>
      <c r="K160" s="18" t="e">
        <f t="shared" si="32"/>
        <v>#N/A</v>
      </c>
      <c r="L160" s="18" t="e">
        <f t="shared" si="33"/>
        <v>#N/A</v>
      </c>
      <c r="M160" s="18" t="e">
        <f t="shared" ca="1" si="34"/>
        <v>#N/A</v>
      </c>
      <c r="N160" s="228"/>
      <c r="O160" s="228"/>
      <c r="P160" s="228" t="s">
        <v>74</v>
      </c>
    </row>
  </sheetData>
  <mergeCells count="15">
    <mergeCell ref="C7:C14"/>
    <mergeCell ref="B15:P15"/>
    <mergeCell ref="B2:P2"/>
    <mergeCell ref="O3:P5"/>
    <mergeCell ref="Q2:X2"/>
    <mergeCell ref="H3:K3"/>
    <mergeCell ref="H4:K4"/>
    <mergeCell ref="H5:K5"/>
    <mergeCell ref="L4:N4"/>
    <mergeCell ref="L5:N5"/>
    <mergeCell ref="E3:F5"/>
    <mergeCell ref="L3:N3"/>
    <mergeCell ref="B5:C5"/>
    <mergeCell ref="B3:D3"/>
    <mergeCell ref="B4:C4"/>
  </mergeCells>
  <phoneticPr fontId="8" type="noConversion"/>
  <dataValidations count="5">
    <dataValidation type="list" allowBlank="1" showInputMessage="1" showErrorMessage="1" sqref="D5" xr:uid="{00000000-0002-0000-0000-000004000000}">
      <formula1>cpNode_Addresses</formula1>
    </dataValidation>
    <dataValidation type="list" allowBlank="1" showInputMessage="1" showErrorMessage="1" sqref="F17:F160" xr:uid="{00000000-0002-0000-0000-000002000000}">
      <formula1>DCC_Decoders</formula1>
    </dataValidation>
    <dataValidation type="list" allowBlank="1" showInputMessage="1" showErrorMessage="1" sqref="H17:H160" xr:uid="{00000000-0002-0000-0000-000003000000}">
      <formula1>Module1Nodes</formula1>
    </dataValidation>
    <dataValidation type="list" allowBlank="1" showInputMessage="1" showErrorMessage="1" sqref="C17:C160" xr:uid="{1A92DD01-890E-2D42-8D7F-8A463F5BB385}">
      <formula1>VALID_MODULES</formula1>
    </dataValidation>
    <dataValidation type="list" allowBlank="1" showInputMessage="1" showErrorMessage="1" sqref="G17:G160" xr:uid="{1FC6E680-53BA-854D-9C92-CD21D4DCF6CB}">
      <formula1>JMRI_STATE</formula1>
    </dataValidation>
  </dataValidations>
  <printOptions horizontalCentered="1" verticalCentered="1" gridLines="1"/>
  <pageMargins left="0.7" right="0.7" top="0.75" bottom="0.75" header="0.3" footer="0.3"/>
  <pageSetup scale="43" orientation="landscape" horizontalDpi="4294967292" verticalDpi="4294967292" r:id="rId1"/>
  <ignoredErrors>
    <ignoredError sqref="X4 X6 X8"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OFFSET('System Parameters'!$N$1, MATCH(A6,'System Parameters'!$N:$N,0)-1,1,COUNTIF('System Parameters'!$N:$N,A6),1)</xm:f>
          </x14:formula1>
          <xm:sqref>D6:D14</xm:sqref>
        </x14:dataValidation>
        <x14:dataValidation type="list" allowBlank="1" showInputMessage="1" showErrorMessage="1" xr:uid="{DBBECDC0-690D-43A8-BD83-E9F0C9A62194}">
          <x14:formula1>
            <xm:f>OFFSET('System Parameters'!$J$1, MATCH(B17,'System Parameters'!$J:$J,0)-1,1,COUNTIF('System Parameters'!$J:$J,B17),1)</xm:f>
          </x14:formula1>
          <xm:sqref>D18:D160 D17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B160"/>
  <sheetViews>
    <sheetView topLeftCell="B2" zoomScale="170" zoomScaleNormal="170" zoomScalePageLayoutView="160" workbookViewId="0">
      <selection activeCell="G21" sqref="G21"/>
    </sheetView>
  </sheetViews>
  <sheetFormatPr baseColWidth="10" defaultColWidth="8.83203125" defaultRowHeight="15" x14ac:dyDescent="0.2"/>
  <cols>
    <col min="1" max="1" width="2.83203125" style="1" hidden="1" customWidth="1"/>
    <col min="2" max="2" width="10.83203125" style="1" customWidth="1"/>
    <col min="3" max="3" width="22.1640625" style="1" customWidth="1"/>
    <col min="4" max="4" width="25.83203125" style="1" customWidth="1"/>
    <col min="5" max="5" width="38" style="8" customWidth="1"/>
    <col min="6" max="7" width="8.33203125" style="1" customWidth="1"/>
    <col min="8" max="8" width="22" style="8" customWidth="1"/>
    <col min="9" max="9" width="9.83203125" style="8" customWidth="1"/>
    <col min="10" max="10" width="7.33203125" style="8" customWidth="1"/>
    <col min="11" max="11" width="9.83203125" style="8" customWidth="1"/>
    <col min="12" max="12" width="10.5" style="8" customWidth="1"/>
    <col min="13" max="13" width="15.1640625" style="8" customWidth="1"/>
    <col min="14" max="14" width="29.1640625" style="1" customWidth="1"/>
    <col min="15" max="15" width="25" style="1" customWidth="1"/>
    <col min="16" max="16" width="24.5" style="1" customWidth="1"/>
    <col min="17" max="17" width="11.5" style="1" hidden="1" customWidth="1"/>
    <col min="18" max="19" width="0" style="1" hidden="1" customWidth="1"/>
    <col min="20" max="20" width="10.1640625" style="1" hidden="1" customWidth="1"/>
    <col min="21" max="21" width="10.5" style="1" hidden="1" customWidth="1"/>
    <col min="22" max="22" width="12.83203125" style="1" hidden="1" customWidth="1"/>
    <col min="23" max="23" width="11.5" style="1" hidden="1" customWidth="1"/>
    <col min="24" max="24" width="0" style="1" hidden="1" customWidth="1"/>
    <col min="25" max="16384" width="8.83203125" style="1"/>
  </cols>
  <sheetData>
    <row r="1" spans="1:24" ht="17" hidden="1" customHeight="1" thickBot="1" x14ac:dyDescent="0.25"/>
    <row r="2" spans="1:24" ht="27" customHeight="1" thickBot="1" x14ac:dyDescent="0.25">
      <c r="B2" s="413" t="s">
        <v>202</v>
      </c>
      <c r="C2" s="414"/>
      <c r="D2" s="414"/>
      <c r="E2" s="414"/>
      <c r="F2" s="414"/>
      <c r="G2" s="414"/>
      <c r="H2" s="414"/>
      <c r="I2" s="414"/>
      <c r="J2" s="414"/>
      <c r="K2" s="414"/>
      <c r="L2" s="414"/>
      <c r="M2" s="414"/>
      <c r="N2" s="414"/>
      <c r="O2" s="414"/>
      <c r="P2" s="415"/>
      <c r="Q2" s="422" t="s">
        <v>203</v>
      </c>
      <c r="R2" s="423"/>
      <c r="S2" s="423"/>
      <c r="T2" s="423"/>
      <c r="U2" s="423"/>
      <c r="V2" s="423"/>
      <c r="W2" s="423"/>
      <c r="X2" s="424"/>
    </row>
    <row r="3" spans="1:24" ht="22" customHeight="1" thickBot="1" x14ac:dyDescent="0.25">
      <c r="B3" s="453" t="s">
        <v>204</v>
      </c>
      <c r="C3" s="454"/>
      <c r="D3" s="455"/>
      <c r="E3" s="447" t="s">
        <v>205</v>
      </c>
      <c r="F3" s="448"/>
      <c r="G3" s="326"/>
      <c r="H3" s="449" t="str">
        <f>"const long CMRINET_SPEED =  " &amp; CMRINET_BAUD_RATE &amp; ";"</f>
        <v>const long CMRINET_SPEED =  115200;</v>
      </c>
      <c r="I3" s="450"/>
      <c r="J3" s="450"/>
      <c r="K3" s="450"/>
      <c r="L3" s="451"/>
      <c r="M3" s="451"/>
      <c r="N3" s="452"/>
      <c r="O3" s="416" t="s">
        <v>495</v>
      </c>
      <c r="P3" s="417"/>
      <c r="Q3" s="270" t="str">
        <f t="shared" ref="Q3:Q10" si="0">IF(D7="-",D7,VLOOKUP(D7,IOXSketchTable,2,TRUE))</f>
        <v>ADDR 20-21</v>
      </c>
      <c r="R3" s="29" t="str">
        <f t="shared" ref="R3:R10" si="1">IF(D7="-",D7,VLOOKUP(D7,IOXSketchTable,3,TRUE))</f>
        <v>0, 0, 0, 0</v>
      </c>
      <c r="S3" s="29" t="b">
        <f>IF(Q3&lt;&gt;"-", TRUE, FALSE)</f>
        <v>1</v>
      </c>
      <c r="T3" s="29">
        <v>0</v>
      </c>
      <c r="U3" s="29" t="b">
        <f t="shared" ref="U3:U10" si="2">IF(D7&lt;&gt;"-",IF(LEFT(D6,5)="IOX32",FALSE,IF(VALUE(RIGHT(D7,1))&lt;&gt;T3,FALSE, TRUE)),TRUE)</f>
        <v>1</v>
      </c>
      <c r="V3" s="29" t="str">
        <f>"ADDR 20-21"</f>
        <v>ADDR 20-21</v>
      </c>
      <c r="W3" s="29" t="str">
        <f>"ADDR 20"</f>
        <v>ADDR 20</v>
      </c>
      <c r="X3" s="104" t="str">
        <f>IF(Q3=V3,LEFT(R3,4),IF(Q3=W3,R3,"-1, -1"))</f>
        <v>0, 0</v>
      </c>
    </row>
    <row r="4" spans="1:24" ht="22" customHeight="1" thickBot="1" x14ac:dyDescent="0.25">
      <c r="B4" s="445" t="s">
        <v>206</v>
      </c>
      <c r="C4" s="446"/>
      <c r="D4" s="56" t="str">
        <f ca="1">RIGHT(CELL("filename",A1),LEN(CELL("filename",A1))-FIND("]",CELL("filename",A1)))</f>
        <v>Node 2</v>
      </c>
      <c r="E4" s="434"/>
      <c r="F4" s="435"/>
      <c r="G4" s="329"/>
      <c r="H4" s="427" t="str">
        <f ca="1">"int nodeID = " &amp; $D$5 &amp; ";"</f>
        <v>int nodeID = 2;</v>
      </c>
      <c r="I4" s="428"/>
      <c r="J4" s="428"/>
      <c r="K4" s="428"/>
      <c r="L4" s="431" t="str">
        <f>IF($S$11,"#DEFINE USE_IOX","//#DEFINE USE_IOX")</f>
        <v>#DEFINE USE_IOX</v>
      </c>
      <c r="M4" s="431"/>
      <c r="N4" s="432"/>
      <c r="O4" s="418"/>
      <c r="P4" s="419"/>
      <c r="Q4" s="98" t="str">
        <f t="shared" si="0"/>
        <v>-</v>
      </c>
      <c r="R4" s="10" t="str">
        <f t="shared" si="1"/>
        <v>-</v>
      </c>
      <c r="S4" s="29" t="b">
        <f t="shared" ref="S4:S10" si="3">IF(Q4&lt;&gt;"-", TRUE, FALSE)</f>
        <v>0</v>
      </c>
      <c r="T4" s="10">
        <v>1</v>
      </c>
      <c r="U4" s="10" t="b">
        <f t="shared" si="2"/>
        <v>1</v>
      </c>
      <c r="V4" s="10"/>
      <c r="W4" s="10" t="str">
        <f>"ADDR 21"</f>
        <v>ADDR 21</v>
      </c>
      <c r="X4" s="92" t="str">
        <f>IF(Q3=V3,RIGHT(R3,4),IF(Q4=W4,R4,"-1, -1"))</f>
        <v>0, 0</v>
      </c>
    </row>
    <row r="5" spans="1:24" ht="22" customHeight="1" thickBot="1" x14ac:dyDescent="0.25">
      <c r="A5" s="1" t="s">
        <v>37</v>
      </c>
      <c r="B5" s="440" t="s">
        <v>207</v>
      </c>
      <c r="C5" s="441"/>
      <c r="D5" s="67">
        <f ca="1">VLOOKUP(D4, NODE_TABLE,2)</f>
        <v>2</v>
      </c>
      <c r="E5" s="436"/>
      <c r="F5" s="437"/>
      <c r="G5" s="328"/>
      <c r="H5" s="429" t="str">
        <f>"#DEFINE "&amp;$D$6</f>
        <v>#DEFINE BASE_NODE_16IN</v>
      </c>
      <c r="I5" s="430"/>
      <c r="J5" s="430"/>
      <c r="K5" s="430"/>
      <c r="L5" s="430" t="str">
        <f>"IOX_ioMap[max_IOX] = { "&amp; $X$3 &amp; ", " &amp; $X$4 &amp; ", " &amp; $X$5 &amp; ", " &amp; $X$6 &amp; ", " &amp; $X$7 &amp; ", " &amp; $X$8 &amp; ", " &amp; $X$9 &amp; ", " &amp; $X$10 &amp; " };"</f>
        <v>IOX_ioMap[max_IOX] = { 0, 0, 0, 0, -1, -1, -1, -1, -1, -1, -1, -1, -1, -1, -1, -1 };</v>
      </c>
      <c r="M5" s="430"/>
      <c r="N5" s="433"/>
      <c r="O5" s="420"/>
      <c r="P5" s="421"/>
      <c r="Q5" s="98" t="str">
        <f t="shared" si="0"/>
        <v>-</v>
      </c>
      <c r="R5" s="10" t="str">
        <f t="shared" si="1"/>
        <v>-</v>
      </c>
      <c r="S5" s="29" t="b">
        <f t="shared" si="3"/>
        <v>0</v>
      </c>
      <c r="T5" s="10">
        <v>2</v>
      </c>
      <c r="U5" s="10" t="b">
        <f t="shared" si="2"/>
        <v>1</v>
      </c>
      <c r="V5" s="10" t="str">
        <f>"ADDR 22-23"</f>
        <v>ADDR 22-23</v>
      </c>
      <c r="W5" s="10" t="str">
        <f>"ADDR 22"</f>
        <v>ADDR 22</v>
      </c>
      <c r="X5" s="92" t="str">
        <f>IF(Q5=V5,LEFT(R5,4),IF(Q5=W5,R5,"-1, -1"))</f>
        <v>-1, -1</v>
      </c>
    </row>
    <row r="6" spans="1:24" ht="22" customHeight="1" x14ac:dyDescent="0.2">
      <c r="A6" s="1" t="s">
        <v>12</v>
      </c>
      <c r="B6" s="105" t="str">
        <f>"IOX ADDR"</f>
        <v>IOX ADDR</v>
      </c>
      <c r="C6" s="80" t="s">
        <v>208</v>
      </c>
      <c r="D6" s="69" t="s">
        <v>13</v>
      </c>
      <c r="E6" s="74" t="s">
        <v>209</v>
      </c>
      <c r="F6" s="88">
        <f t="shared" ref="F6:F14" si="4">IF(LEFT(D6,4)="BASE",16,IF(LEFT(D6,3)="IOX",VALUE(MID(D6,4,2)),0))</f>
        <v>16</v>
      </c>
      <c r="G6" s="330"/>
      <c r="H6" s="109" t="s">
        <v>210</v>
      </c>
      <c r="I6" s="110" t="s">
        <v>76</v>
      </c>
      <c r="J6" s="110" t="s">
        <v>77</v>
      </c>
      <c r="K6" s="110" t="s">
        <v>78</v>
      </c>
      <c r="L6" s="111" t="s">
        <v>38</v>
      </c>
      <c r="M6" s="112" t="s">
        <v>211</v>
      </c>
      <c r="N6" s="103" t="str">
        <f>IF(U11=FALSE,"IOX Addressing Error",IF(OR(M7&gt;144,M11&lt;0),"Too Many IOX Modules","Looks Good"))</f>
        <v>Looks Good</v>
      </c>
      <c r="O6" s="280" t="s">
        <v>707</v>
      </c>
      <c r="P6" s="282">
        <f t="shared" ref="P6:P12" si="5">COUNTIF($C$17:$C$160,$O6)</f>
        <v>0</v>
      </c>
      <c r="Q6" s="98" t="str">
        <f t="shared" si="0"/>
        <v>-</v>
      </c>
      <c r="R6" s="10" t="str">
        <f t="shared" si="1"/>
        <v>-</v>
      </c>
      <c r="S6" s="29" t="b">
        <f t="shared" si="3"/>
        <v>0</v>
      </c>
      <c r="T6" s="10">
        <v>3</v>
      </c>
      <c r="U6" s="10" t="b">
        <f t="shared" si="2"/>
        <v>1</v>
      </c>
      <c r="V6" s="10"/>
      <c r="W6" s="10" t="str">
        <f>"ADDR 23"</f>
        <v>ADDR 23</v>
      </c>
      <c r="X6" s="92" t="str">
        <f>IF(Q5=V5,RIGHT(R5,4),IF(Q6=W6,R6,"-1, -1"))</f>
        <v>-1, -1</v>
      </c>
    </row>
    <row r="7" spans="1:24" ht="22" customHeight="1" x14ac:dyDescent="0.2">
      <c r="A7" s="1" t="s">
        <v>16</v>
      </c>
      <c r="B7" s="70" t="s">
        <v>212</v>
      </c>
      <c r="C7" s="411" t="s">
        <v>213</v>
      </c>
      <c r="D7" s="68" t="s">
        <v>17</v>
      </c>
      <c r="E7" s="75" t="str">
        <f>" Total IOX ("&amp;B7&amp;") I/O ="</f>
        <v xml:space="preserve"> Total IOX (0x20) I/O =</v>
      </c>
      <c r="F7" s="89">
        <f t="shared" si="4"/>
        <v>32</v>
      </c>
      <c r="G7" s="331"/>
      <c r="H7" s="96" t="str">
        <f>IF($L7&lt;&gt;"n/a",VLOOKUP($L7,IOXJumperConfiguration,2,TRUE),$L7)</f>
        <v>ADDR 20-21</v>
      </c>
      <c r="I7" s="10" t="str">
        <f t="shared" ref="I7:I14" si="6">IF($L7&lt;&gt;"n/a",VLOOKUP($L7,IOXJumperConfiguration,3,TRUE),$L7)</f>
        <v>n/a</v>
      </c>
      <c r="J7" s="10" t="str">
        <f t="shared" ref="J7:J14" si="7">IF($L7&lt;&gt;"n/a",VLOOKUP($L7,IOXJumperConfiguration,4,TRUE),$L7)</f>
        <v>Out</v>
      </c>
      <c r="K7" s="10" t="str">
        <f t="shared" ref="K7:K14" si="8">IF($L7&lt;&gt;"n/a",VLOOKUP($L7,IOXJumperConfiguration,5,TRUE),$L7)</f>
        <v>Out</v>
      </c>
      <c r="L7" s="101" t="str">
        <f t="shared" ref="L7:L14" si="9">IF(LEFT($D7,3)="IOX", LEFT($D7,5)&amp;RIGHT($D7,2), "n/a")</f>
        <v>IOX32_0</v>
      </c>
      <c r="M7" s="98">
        <f>SUM($F$6:$F$14)</f>
        <v>48</v>
      </c>
      <c r="N7" s="81" t="s">
        <v>214</v>
      </c>
      <c r="O7" s="280" t="s">
        <v>708</v>
      </c>
      <c r="P7" s="282">
        <f t="shared" si="5"/>
        <v>0</v>
      </c>
      <c r="Q7" s="98" t="str">
        <f t="shared" si="0"/>
        <v>-</v>
      </c>
      <c r="R7" s="10" t="str">
        <f t="shared" si="1"/>
        <v>-</v>
      </c>
      <c r="S7" s="29" t="b">
        <f t="shared" si="3"/>
        <v>0</v>
      </c>
      <c r="T7" s="10">
        <v>4</v>
      </c>
      <c r="U7" s="10" t="b">
        <f t="shared" si="2"/>
        <v>1</v>
      </c>
      <c r="V7" s="10" t="str">
        <f>"ADDR 24-25"</f>
        <v>ADDR 24-25</v>
      </c>
      <c r="W7" s="10" t="str">
        <f>"ADDR 24"</f>
        <v>ADDR 24</v>
      </c>
      <c r="X7" s="92" t="str">
        <f>IF(Q7=V7,LEFT(R7,4),IF(Q7=W7,R7,"-1, -1"))</f>
        <v>-1, -1</v>
      </c>
    </row>
    <row r="8" spans="1:24" ht="22" customHeight="1" x14ac:dyDescent="0.2">
      <c r="A8" s="1" t="s">
        <v>16</v>
      </c>
      <c r="B8" s="70" t="s">
        <v>215</v>
      </c>
      <c r="C8" s="411"/>
      <c r="D8" s="68" t="s">
        <v>74</v>
      </c>
      <c r="E8" s="75" t="str">
        <f t="shared" ref="E8:E14" si="10">" Total IOX ("&amp;B8&amp;") I/O ="</f>
        <v xml:space="preserve"> Total IOX (0x21) I/O =</v>
      </c>
      <c r="F8" s="89">
        <f t="shared" si="4"/>
        <v>0</v>
      </c>
      <c r="G8" s="331"/>
      <c r="H8" s="96" t="str">
        <f t="shared" ref="H8:H14" si="11">IF(L8&lt;&gt;"n/a",VLOOKUP(L8,IOXJumperConfiguration,2,TRUE),L8)</f>
        <v>n/a</v>
      </c>
      <c r="I8" s="72" t="str">
        <f t="shared" si="6"/>
        <v>n/a</v>
      </c>
      <c r="J8" s="72" t="str">
        <f t="shared" si="7"/>
        <v>n/a</v>
      </c>
      <c r="K8" s="72" t="str">
        <f t="shared" si="8"/>
        <v>n/a</v>
      </c>
      <c r="L8" s="92" t="str">
        <f t="shared" si="9"/>
        <v>n/a</v>
      </c>
      <c r="M8" s="99">
        <f>COUNTIF(D7:D14,"IOX16*")*2</f>
        <v>0</v>
      </c>
      <c r="N8" s="81" t="s">
        <v>216</v>
      </c>
      <c r="O8" s="280" t="s">
        <v>703</v>
      </c>
      <c r="P8" s="282">
        <f t="shared" si="5"/>
        <v>0</v>
      </c>
      <c r="Q8" s="98" t="str">
        <f t="shared" si="0"/>
        <v>-</v>
      </c>
      <c r="R8" s="10" t="str">
        <f t="shared" si="1"/>
        <v>-</v>
      </c>
      <c r="S8" s="29" t="b">
        <f t="shared" si="3"/>
        <v>0</v>
      </c>
      <c r="T8" s="10">
        <v>5</v>
      </c>
      <c r="U8" s="10" t="b">
        <f t="shared" si="2"/>
        <v>1</v>
      </c>
      <c r="V8" s="10"/>
      <c r="W8" s="10" t="str">
        <f>"ADDR 25"</f>
        <v>ADDR 25</v>
      </c>
      <c r="X8" s="92" t="str">
        <f>IF(Q7=V7,RIGHT(R7,4),IF(Q8=W8,R8,"-1, -1"))</f>
        <v>-1, -1</v>
      </c>
    </row>
    <row r="9" spans="1:24" ht="22" customHeight="1" x14ac:dyDescent="0.2">
      <c r="A9" s="1" t="s">
        <v>16</v>
      </c>
      <c r="B9" s="70" t="s">
        <v>217</v>
      </c>
      <c r="C9" s="411"/>
      <c r="D9" s="68" t="s">
        <v>74</v>
      </c>
      <c r="E9" s="75" t="str">
        <f t="shared" si="10"/>
        <v xml:space="preserve"> Total IOX (0x22) I/O =</v>
      </c>
      <c r="F9" s="89">
        <f t="shared" si="4"/>
        <v>0</v>
      </c>
      <c r="G9" s="331"/>
      <c r="H9" s="96" t="str">
        <f t="shared" si="11"/>
        <v>n/a</v>
      </c>
      <c r="I9" s="72" t="str">
        <f t="shared" si="6"/>
        <v>n/a</v>
      </c>
      <c r="J9" s="72" t="str">
        <f t="shared" si="7"/>
        <v>n/a</v>
      </c>
      <c r="K9" s="72" t="str">
        <f t="shared" si="8"/>
        <v>n/a</v>
      </c>
      <c r="L9" s="92" t="str">
        <f t="shared" si="9"/>
        <v>n/a</v>
      </c>
      <c r="M9" s="99">
        <f>COUNTIF(D7:D14,"IOX32*")*4</f>
        <v>4</v>
      </c>
      <c r="N9" s="95" t="s">
        <v>218</v>
      </c>
      <c r="O9" s="280" t="s">
        <v>704</v>
      </c>
      <c r="P9" s="282">
        <f t="shared" si="5"/>
        <v>28</v>
      </c>
      <c r="Q9" s="98" t="str">
        <f t="shared" si="0"/>
        <v>-</v>
      </c>
      <c r="R9" s="10" t="str">
        <f t="shared" si="1"/>
        <v>-</v>
      </c>
      <c r="S9" s="29" t="b">
        <f t="shared" si="3"/>
        <v>0</v>
      </c>
      <c r="T9" s="10">
        <v>6</v>
      </c>
      <c r="U9" s="10" t="b">
        <f t="shared" si="2"/>
        <v>1</v>
      </c>
      <c r="V9" s="10" t="str">
        <f>"ADDR 26-27"</f>
        <v>ADDR 26-27</v>
      </c>
      <c r="W9" s="10" t="str">
        <f>"ADDR 26"</f>
        <v>ADDR 26</v>
      </c>
      <c r="X9" s="92" t="str">
        <f>IF(Q9=V9,LEFT(R9,4),IF(Q9=W9,R9,"-1, -1"))</f>
        <v>-1, -1</v>
      </c>
    </row>
    <row r="10" spans="1:24" ht="22" customHeight="1" x14ac:dyDescent="0.2">
      <c r="A10" s="1" t="s">
        <v>16</v>
      </c>
      <c r="B10" s="70" t="s">
        <v>219</v>
      </c>
      <c r="C10" s="411"/>
      <c r="D10" s="68" t="s">
        <v>74</v>
      </c>
      <c r="E10" s="75" t="str">
        <f t="shared" si="10"/>
        <v xml:space="preserve"> Total IOX (0x23) I/O =</v>
      </c>
      <c r="F10" s="89">
        <f t="shared" si="4"/>
        <v>0</v>
      </c>
      <c r="G10" s="331"/>
      <c r="H10" s="96" t="str">
        <f t="shared" si="11"/>
        <v>n/a</v>
      </c>
      <c r="I10" s="72" t="str">
        <f t="shared" si="6"/>
        <v>n/a</v>
      </c>
      <c r="J10" s="72" t="str">
        <f t="shared" si="7"/>
        <v>n/a</v>
      </c>
      <c r="K10" s="72" t="str">
        <f t="shared" si="8"/>
        <v>n/a</v>
      </c>
      <c r="L10" s="92" t="str">
        <f t="shared" si="9"/>
        <v>n/a</v>
      </c>
      <c r="M10" s="99">
        <f>4*4</f>
        <v>16</v>
      </c>
      <c r="N10" s="95" t="s">
        <v>220</v>
      </c>
      <c r="O10" s="280" t="s">
        <v>705</v>
      </c>
      <c r="P10" s="282">
        <f t="shared" si="5"/>
        <v>0</v>
      </c>
      <c r="Q10" s="98" t="str">
        <f t="shared" si="0"/>
        <v>-</v>
      </c>
      <c r="R10" s="10" t="str">
        <f t="shared" si="1"/>
        <v>-</v>
      </c>
      <c r="S10" s="29" t="b">
        <f t="shared" si="3"/>
        <v>0</v>
      </c>
      <c r="T10" s="10">
        <v>7</v>
      </c>
      <c r="U10" s="10" t="b">
        <f t="shared" si="2"/>
        <v>1</v>
      </c>
      <c r="V10" s="10"/>
      <c r="W10" s="10" t="str">
        <f>"ADDR 27"</f>
        <v>ADDR 27</v>
      </c>
      <c r="X10" s="92" t="str">
        <f>IF(Q9=V9,RIGHT(R9,4),IF(Q10=W10,R10,"-1, -1"))</f>
        <v>-1, -1</v>
      </c>
    </row>
    <row r="11" spans="1:24" ht="22" customHeight="1" thickBot="1" x14ac:dyDescent="0.25">
      <c r="A11" s="1" t="s">
        <v>16</v>
      </c>
      <c r="B11" s="70" t="s">
        <v>221</v>
      </c>
      <c r="C11" s="411"/>
      <c r="D11" s="68" t="s">
        <v>74</v>
      </c>
      <c r="E11" s="75" t="str">
        <f t="shared" si="10"/>
        <v xml:space="preserve"> Total IOX (0x24) I/O =</v>
      </c>
      <c r="F11" s="89">
        <f t="shared" si="4"/>
        <v>0</v>
      </c>
      <c r="G11" s="331"/>
      <c r="H11" s="96" t="str">
        <f t="shared" si="11"/>
        <v>n/a</v>
      </c>
      <c r="I11" s="72" t="str">
        <f t="shared" si="6"/>
        <v>n/a</v>
      </c>
      <c r="J11" s="72" t="str">
        <f t="shared" si="7"/>
        <v>n/a</v>
      </c>
      <c r="K11" s="72" t="str">
        <f t="shared" si="8"/>
        <v>n/a</v>
      </c>
      <c r="L11" s="92" t="str">
        <f t="shared" si="9"/>
        <v>n/a</v>
      </c>
      <c r="M11" s="99">
        <f>M10-M8-M9</f>
        <v>12</v>
      </c>
      <c r="N11" s="95" t="s">
        <v>222</v>
      </c>
      <c r="O11" s="280" t="s">
        <v>706</v>
      </c>
      <c r="P11" s="282">
        <f t="shared" si="5"/>
        <v>0</v>
      </c>
      <c r="Q11" s="271"/>
      <c r="R11" s="107" t="s">
        <v>223</v>
      </c>
      <c r="S11" s="106" t="b">
        <f>OR(S3:S10)</f>
        <v>1</v>
      </c>
      <c r="T11" s="7"/>
      <c r="U11" s="106" t="b">
        <f>AND(U3:U10)</f>
        <v>1</v>
      </c>
      <c r="V11" s="106"/>
      <c r="W11" s="106"/>
      <c r="X11" s="108"/>
    </row>
    <row r="12" spans="1:24" ht="22" customHeight="1" x14ac:dyDescent="0.2">
      <c r="A12" s="1" t="s">
        <v>16</v>
      </c>
      <c r="B12" s="70" t="s">
        <v>224</v>
      </c>
      <c r="C12" s="411"/>
      <c r="D12" s="68" t="s">
        <v>74</v>
      </c>
      <c r="E12" s="75" t="str">
        <f t="shared" si="10"/>
        <v xml:space="preserve"> Total IOX (0x25) I/O =</v>
      </c>
      <c r="F12" s="89">
        <f t="shared" si="4"/>
        <v>0</v>
      </c>
      <c r="G12" s="331"/>
      <c r="H12" s="96" t="str">
        <f t="shared" si="11"/>
        <v>n/a</v>
      </c>
      <c r="I12" s="72" t="str">
        <f t="shared" si="6"/>
        <v>n/a</v>
      </c>
      <c r="J12" s="72" t="str">
        <f t="shared" si="7"/>
        <v>n/a</v>
      </c>
      <c r="K12" s="72" t="str">
        <f t="shared" si="8"/>
        <v>n/a</v>
      </c>
      <c r="L12" s="92" t="str">
        <f t="shared" si="9"/>
        <v>n/a</v>
      </c>
      <c r="M12" s="99">
        <f>FLOOR(M11/2,1)</f>
        <v>6</v>
      </c>
      <c r="N12" s="95" t="s">
        <v>225</v>
      </c>
      <c r="O12" s="272" t="s">
        <v>135</v>
      </c>
      <c r="P12" s="282">
        <f t="shared" si="5"/>
        <v>116</v>
      </c>
    </row>
    <row r="13" spans="1:24" ht="22" customHeight="1" x14ac:dyDescent="0.2">
      <c r="A13" s="1" t="s">
        <v>16</v>
      </c>
      <c r="B13" s="70" t="s">
        <v>226</v>
      </c>
      <c r="C13" s="411"/>
      <c r="D13" s="68" t="s">
        <v>74</v>
      </c>
      <c r="E13" s="75" t="str">
        <f t="shared" si="10"/>
        <v xml:space="preserve"> Total IOX (0x26) I/O =</v>
      </c>
      <c r="F13" s="89">
        <f t="shared" si="4"/>
        <v>0</v>
      </c>
      <c r="G13" s="331"/>
      <c r="H13" s="96" t="str">
        <f t="shared" si="11"/>
        <v>n/a</v>
      </c>
      <c r="I13" s="72" t="str">
        <f t="shared" si="6"/>
        <v>n/a</v>
      </c>
      <c r="J13" s="72" t="str">
        <f t="shared" si="7"/>
        <v>n/a</v>
      </c>
      <c r="K13" s="72" t="str">
        <f t="shared" si="8"/>
        <v>n/a</v>
      </c>
      <c r="L13" s="92" t="str">
        <f t="shared" si="9"/>
        <v>n/a</v>
      </c>
      <c r="M13" s="99">
        <f>FLOOR(M11/4,1)</f>
        <v>3</v>
      </c>
      <c r="N13" s="95" t="s">
        <v>227</v>
      </c>
      <c r="O13" s="272" t="s">
        <v>685</v>
      </c>
      <c r="P13" s="282">
        <f>SUM(P6:P12)</f>
        <v>144</v>
      </c>
    </row>
    <row r="14" spans="1:24" ht="22" customHeight="1" thickBot="1" x14ac:dyDescent="0.25">
      <c r="A14" s="1" t="s">
        <v>16</v>
      </c>
      <c r="B14" s="260" t="s">
        <v>228</v>
      </c>
      <c r="C14" s="456"/>
      <c r="D14" s="261" t="s">
        <v>74</v>
      </c>
      <c r="E14" s="262" t="str">
        <f t="shared" si="10"/>
        <v xml:space="preserve"> Total IOX (0x27) I/O =</v>
      </c>
      <c r="F14" s="263">
        <f t="shared" si="4"/>
        <v>0</v>
      </c>
      <c r="G14" s="333"/>
      <c r="H14" s="264" t="str">
        <f t="shared" si="11"/>
        <v>n/a</v>
      </c>
      <c r="I14" s="265" t="str">
        <f t="shared" si="6"/>
        <v>n/a</v>
      </c>
      <c r="J14" s="265" t="str">
        <f t="shared" si="7"/>
        <v>n/a</v>
      </c>
      <c r="K14" s="265" t="str">
        <f t="shared" si="8"/>
        <v>n/a</v>
      </c>
      <c r="L14" s="266" t="str">
        <f t="shared" si="9"/>
        <v>n/a</v>
      </c>
      <c r="M14" s="267"/>
      <c r="N14" s="268"/>
      <c r="O14" s="274"/>
      <c r="P14" s="284"/>
    </row>
    <row r="15" spans="1:24" ht="27" customHeight="1" thickBot="1" x14ac:dyDescent="0.25">
      <c r="B15" s="413" t="s">
        <v>550</v>
      </c>
      <c r="C15" s="414"/>
      <c r="D15" s="414"/>
      <c r="E15" s="414"/>
      <c r="F15" s="414"/>
      <c r="G15" s="414"/>
      <c r="H15" s="414"/>
      <c r="I15" s="414"/>
      <c r="J15" s="414"/>
      <c r="K15" s="414"/>
      <c r="L15" s="414"/>
      <c r="M15" s="414"/>
      <c r="N15" s="414"/>
      <c r="O15" s="414"/>
      <c r="P15" s="415"/>
    </row>
    <row r="16" spans="1:24"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c r="Q16" s="14"/>
    </row>
    <row r="17" spans="1:54" s="3" customFormat="1" x14ac:dyDescent="0.2">
      <c r="B17" s="238" t="s">
        <v>46</v>
      </c>
      <c r="C17" s="311" t="s">
        <v>704</v>
      </c>
      <c r="D17" s="239" t="s">
        <v>786</v>
      </c>
      <c r="E17" s="320" t="str">
        <f>IF(P17="-",P17,_xlfn.CONCAT(C17,":",P17))</f>
        <v>CTC_DOUBLE_TRACK:OME:TS1</v>
      </c>
      <c r="F17" s="239" t="s">
        <v>74</v>
      </c>
      <c r="G17" s="325" t="s">
        <v>783</v>
      </c>
      <c r="H17" s="239" t="s">
        <v>74</v>
      </c>
      <c r="I17" s="66">
        <v>0</v>
      </c>
      <c r="J17" s="5">
        <f t="shared" ref="J17:J64" si="12">IF(AND(H17=H16,B17=B16), J16+1,1)</f>
        <v>1</v>
      </c>
      <c r="K17" s="15" t="e">
        <f t="shared" ref="K17:K80" si="13">VLOOKUP(H17,nodeDevicePinConfigTable,3+J17+(IF(B17="IN",0,1)*VLOOKUP(H17,nodeDevicePinConfigTable,2,TRUE)),TRUE)</f>
        <v>#N/A</v>
      </c>
      <c r="L17" s="15" t="e">
        <f t="shared" ref="L17:L80" si="14">VLOOKUP(H17,nodeJMRIPinConfigTable,3+J17+(IF(B17="IN",0,1)*VLOOKUP(H17,nodeJMRIPinConfigTable,2,TRUE)),TRUE)</f>
        <v>#N/A</v>
      </c>
      <c r="M17" s="15" t="e">
        <f ca="1">CONCATENATE(LEFT(L17,2),$D$5*1000+VALUE(RIGHT(L17,3)+I17))</f>
        <v>#N/A</v>
      </c>
      <c r="N17" s="226" t="s">
        <v>596</v>
      </c>
      <c r="O17" s="275" t="s">
        <v>688</v>
      </c>
      <c r="P17" s="226" t="s">
        <v>714</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x14ac:dyDescent="0.2">
      <c r="B18" s="152" t="s">
        <v>46</v>
      </c>
      <c r="C18" s="230" t="s">
        <v>704</v>
      </c>
      <c r="D18" s="230" t="s">
        <v>786</v>
      </c>
      <c r="E18" s="315" t="str">
        <f t="shared" ref="E18:E81" si="15">IF(P18="-",P18,_xlfn.CONCAT(C18,":",P18))</f>
        <v>CTC_DOUBLE_TRACK:OME:TS2</v>
      </c>
      <c r="F18" s="230" t="s">
        <v>74</v>
      </c>
      <c r="G18" s="230" t="s">
        <v>783</v>
      </c>
      <c r="H18" s="230" t="s">
        <v>13</v>
      </c>
      <c r="I18" s="10">
        <v>0</v>
      </c>
      <c r="J18" s="6">
        <f t="shared" si="12"/>
        <v>1</v>
      </c>
      <c r="K18" s="16" t="str">
        <f t="shared" si="13"/>
        <v>D4</v>
      </c>
      <c r="L18" s="16" t="str">
        <f t="shared" si="14"/>
        <v>CSn001</v>
      </c>
      <c r="M18" s="16" t="str">
        <f t="shared" ref="M18:M81" ca="1" si="16">CONCATENATE(LEFT(L18,2),$D$5*1000+VALUE(RIGHT(L18,3)+I18))</f>
        <v>CS2001</v>
      </c>
      <c r="N18" s="227" t="s">
        <v>597</v>
      </c>
      <c r="O18" s="276" t="s">
        <v>689</v>
      </c>
      <c r="P18" s="227" t="s">
        <v>715</v>
      </c>
    </row>
    <row r="19" spans="1:54" x14ac:dyDescent="0.2">
      <c r="B19" s="152" t="s">
        <v>46</v>
      </c>
      <c r="C19" s="230" t="s">
        <v>135</v>
      </c>
      <c r="D19" s="230" t="s">
        <v>135</v>
      </c>
      <c r="E19" s="315" t="str">
        <f t="shared" si="15"/>
        <v>-</v>
      </c>
      <c r="F19" s="230" t="s">
        <v>74</v>
      </c>
      <c r="G19" s="230"/>
      <c r="H19" s="230" t="s">
        <v>13</v>
      </c>
      <c r="I19" s="10">
        <v>0</v>
      </c>
      <c r="J19" s="6">
        <f t="shared" si="12"/>
        <v>2</v>
      </c>
      <c r="K19" s="16" t="str">
        <f t="shared" si="13"/>
        <v>D5</v>
      </c>
      <c r="L19" s="16" t="str">
        <f t="shared" si="14"/>
        <v>CSn002</v>
      </c>
      <c r="M19" s="16" t="str">
        <f t="shared" ca="1" si="16"/>
        <v>CS2002</v>
      </c>
      <c r="N19" s="227"/>
      <c r="O19" s="276"/>
      <c r="P19" s="227" t="s">
        <v>74</v>
      </c>
    </row>
    <row r="20" spans="1:54" s="4" customFormat="1" ht="16" thickBot="1" x14ac:dyDescent="0.25">
      <c r="A20" s="1"/>
      <c r="B20" s="152" t="s">
        <v>46</v>
      </c>
      <c r="C20" s="230" t="s">
        <v>135</v>
      </c>
      <c r="D20" s="230" t="s">
        <v>135</v>
      </c>
      <c r="E20" s="315" t="str">
        <f t="shared" si="15"/>
        <v>-</v>
      </c>
      <c r="F20" s="230" t="s">
        <v>74</v>
      </c>
      <c r="G20" s="230"/>
      <c r="H20" s="230" t="s">
        <v>13</v>
      </c>
      <c r="I20" s="10">
        <v>0</v>
      </c>
      <c r="J20" s="6">
        <f t="shared" si="12"/>
        <v>3</v>
      </c>
      <c r="K20" s="16" t="str">
        <f t="shared" si="13"/>
        <v>D6</v>
      </c>
      <c r="L20" s="16" t="str">
        <f t="shared" si="14"/>
        <v>CSn003</v>
      </c>
      <c r="M20" s="16" t="str">
        <f t="shared" ca="1" si="16"/>
        <v>CS2003</v>
      </c>
      <c r="N20" s="227"/>
      <c r="O20" s="276"/>
      <c r="P20" s="227" t="s">
        <v>74</v>
      </c>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x14ac:dyDescent="0.2">
      <c r="B21" s="152" t="s">
        <v>46</v>
      </c>
      <c r="C21" s="230" t="s">
        <v>704</v>
      </c>
      <c r="D21" s="230" t="s">
        <v>786</v>
      </c>
      <c r="E21" s="315" t="str">
        <f t="shared" si="15"/>
        <v>CTC_DOUBLE_TRACK:IMW:TS1</v>
      </c>
      <c r="F21" s="230" t="s">
        <v>74</v>
      </c>
      <c r="G21" s="230" t="s">
        <v>783</v>
      </c>
      <c r="H21" s="230" t="s">
        <v>13</v>
      </c>
      <c r="I21" s="10">
        <v>0</v>
      </c>
      <c r="J21" s="6">
        <f t="shared" si="12"/>
        <v>4</v>
      </c>
      <c r="K21" s="16" t="str">
        <f t="shared" si="13"/>
        <v>D7</v>
      </c>
      <c r="L21" s="16" t="str">
        <f t="shared" si="14"/>
        <v>CSn004</v>
      </c>
      <c r="M21" s="16" t="str">
        <f t="shared" ca="1" si="16"/>
        <v>CS2004</v>
      </c>
      <c r="N21" s="227" t="s">
        <v>598</v>
      </c>
      <c r="O21" s="276" t="s">
        <v>690</v>
      </c>
      <c r="P21" s="227" t="s">
        <v>742</v>
      </c>
    </row>
    <row r="22" spans="1:54" x14ac:dyDescent="0.2">
      <c r="B22" s="152" t="s">
        <v>46</v>
      </c>
      <c r="C22" s="230" t="s">
        <v>704</v>
      </c>
      <c r="D22" s="230" t="s">
        <v>786</v>
      </c>
      <c r="E22" s="315" t="str">
        <f t="shared" si="15"/>
        <v>CTC_DOUBLE_TRACK:IMW:TS2</v>
      </c>
      <c r="F22" s="230" t="s">
        <v>74</v>
      </c>
      <c r="G22" s="230" t="s">
        <v>783</v>
      </c>
      <c r="H22" s="230" t="s">
        <v>13</v>
      </c>
      <c r="I22" s="10">
        <v>0</v>
      </c>
      <c r="J22" s="6">
        <f t="shared" si="12"/>
        <v>5</v>
      </c>
      <c r="K22" s="16" t="str">
        <f t="shared" si="13"/>
        <v>D8</v>
      </c>
      <c r="L22" s="16" t="str">
        <f t="shared" si="14"/>
        <v>CSn005</v>
      </c>
      <c r="M22" s="16" t="str">
        <f t="shared" ca="1" si="16"/>
        <v>CS2005</v>
      </c>
      <c r="N22" s="227" t="s">
        <v>599</v>
      </c>
      <c r="O22" s="276" t="s">
        <v>691</v>
      </c>
      <c r="P22" s="227" t="s">
        <v>743</v>
      </c>
    </row>
    <row r="23" spans="1:54" x14ac:dyDescent="0.2">
      <c r="B23" s="152" t="s">
        <v>46</v>
      </c>
      <c r="C23" s="230" t="s">
        <v>135</v>
      </c>
      <c r="D23" s="230" t="s">
        <v>135</v>
      </c>
      <c r="E23" s="315" t="str">
        <f t="shared" si="15"/>
        <v>-</v>
      </c>
      <c r="F23" s="230" t="s">
        <v>74</v>
      </c>
      <c r="G23" s="230"/>
      <c r="H23" s="230" t="s">
        <v>13</v>
      </c>
      <c r="I23" s="10">
        <v>0</v>
      </c>
      <c r="J23" s="6">
        <f t="shared" si="12"/>
        <v>6</v>
      </c>
      <c r="K23" s="16" t="str">
        <f t="shared" si="13"/>
        <v>D9</v>
      </c>
      <c r="L23" s="16" t="str">
        <f t="shared" si="14"/>
        <v>CSn006</v>
      </c>
      <c r="M23" s="16" t="str">
        <f t="shared" ca="1" si="16"/>
        <v>CS2006</v>
      </c>
      <c r="N23" s="227"/>
      <c r="O23" s="276"/>
      <c r="P23" s="227" t="s">
        <v>74</v>
      </c>
    </row>
    <row r="24" spans="1:54" x14ac:dyDescent="0.2">
      <c r="B24" s="152" t="s">
        <v>46</v>
      </c>
      <c r="C24" s="230" t="s">
        <v>135</v>
      </c>
      <c r="D24" s="230" t="s">
        <v>135</v>
      </c>
      <c r="E24" s="315" t="str">
        <f t="shared" si="15"/>
        <v>-</v>
      </c>
      <c r="F24" s="230" t="s">
        <v>74</v>
      </c>
      <c r="G24" s="230"/>
      <c r="H24" s="230" t="s">
        <v>13</v>
      </c>
      <c r="I24" s="10">
        <v>0</v>
      </c>
      <c r="J24" s="6">
        <f t="shared" si="12"/>
        <v>7</v>
      </c>
      <c r="K24" s="16" t="str">
        <f t="shared" si="13"/>
        <v>D10</v>
      </c>
      <c r="L24" s="16" t="str">
        <f t="shared" si="14"/>
        <v>CSn007</v>
      </c>
      <c r="M24" s="16" t="str">
        <f t="shared" ca="1" si="16"/>
        <v>CS2007</v>
      </c>
      <c r="N24" s="227"/>
      <c r="O24" s="276"/>
      <c r="P24" s="227" t="s">
        <v>74</v>
      </c>
    </row>
    <row r="25" spans="1:54" x14ac:dyDescent="0.2">
      <c r="B25" s="152" t="s">
        <v>46</v>
      </c>
      <c r="C25" s="230" t="s">
        <v>135</v>
      </c>
      <c r="D25" s="230" t="s">
        <v>135</v>
      </c>
      <c r="E25" s="315" t="str">
        <f t="shared" si="15"/>
        <v>-</v>
      </c>
      <c r="F25" s="230" t="s">
        <v>74</v>
      </c>
      <c r="G25" s="230"/>
      <c r="H25" s="230" t="s">
        <v>13</v>
      </c>
      <c r="I25" s="10">
        <v>0</v>
      </c>
      <c r="J25" s="6">
        <f t="shared" si="12"/>
        <v>8</v>
      </c>
      <c r="K25" s="16" t="str">
        <f t="shared" si="13"/>
        <v>D11</v>
      </c>
      <c r="L25" s="16" t="str">
        <f t="shared" si="14"/>
        <v>CSn008</v>
      </c>
      <c r="M25" s="16" t="str">
        <f t="shared" ca="1" si="16"/>
        <v>CS2008</v>
      </c>
      <c r="N25" s="227"/>
      <c r="O25" s="276"/>
      <c r="P25" s="227" t="s">
        <v>74</v>
      </c>
    </row>
    <row r="26" spans="1:54" x14ac:dyDescent="0.2">
      <c r="B26" s="152" t="s">
        <v>46</v>
      </c>
      <c r="C26" s="230" t="s">
        <v>135</v>
      </c>
      <c r="D26" s="230" t="s">
        <v>135</v>
      </c>
      <c r="E26" s="315" t="str">
        <f t="shared" si="15"/>
        <v>-</v>
      </c>
      <c r="F26" s="230" t="s">
        <v>74</v>
      </c>
      <c r="G26" s="230"/>
      <c r="H26" s="230" t="s">
        <v>13</v>
      </c>
      <c r="I26" s="10">
        <v>0</v>
      </c>
      <c r="J26" s="6">
        <f t="shared" si="12"/>
        <v>9</v>
      </c>
      <c r="K26" s="16" t="str">
        <f t="shared" si="13"/>
        <v>D12</v>
      </c>
      <c r="L26" s="16" t="str">
        <f t="shared" si="14"/>
        <v>CSn009</v>
      </c>
      <c r="M26" s="16" t="str">
        <f t="shared" ca="1" si="16"/>
        <v>CS2009</v>
      </c>
      <c r="N26" s="227"/>
      <c r="O26" s="276"/>
      <c r="P26" s="227" t="s">
        <v>74</v>
      </c>
    </row>
    <row r="27" spans="1:54" x14ac:dyDescent="0.2">
      <c r="B27" s="152" t="s">
        <v>46</v>
      </c>
      <c r="C27" s="230" t="s">
        <v>135</v>
      </c>
      <c r="D27" s="230" t="s">
        <v>135</v>
      </c>
      <c r="E27" s="315" t="str">
        <f t="shared" si="15"/>
        <v>-</v>
      </c>
      <c r="F27" s="230" t="s">
        <v>74</v>
      </c>
      <c r="G27" s="230"/>
      <c r="H27" s="230" t="s">
        <v>13</v>
      </c>
      <c r="I27" s="10">
        <v>0</v>
      </c>
      <c r="J27" s="6">
        <f t="shared" si="12"/>
        <v>10</v>
      </c>
      <c r="K27" s="16" t="str">
        <f t="shared" si="13"/>
        <v>D13</v>
      </c>
      <c r="L27" s="16" t="str">
        <f t="shared" si="14"/>
        <v>CSn010</v>
      </c>
      <c r="M27" s="16" t="str">
        <f t="shared" ca="1" si="16"/>
        <v>CS2010</v>
      </c>
      <c r="N27" s="227"/>
      <c r="O27" s="227"/>
      <c r="P27" s="227" t="s">
        <v>74</v>
      </c>
    </row>
    <row r="28" spans="1:54" x14ac:dyDescent="0.2">
      <c r="B28" s="152" t="s">
        <v>46</v>
      </c>
      <c r="C28" s="230" t="s">
        <v>135</v>
      </c>
      <c r="D28" s="230" t="s">
        <v>135</v>
      </c>
      <c r="E28" s="315" t="str">
        <f t="shared" si="15"/>
        <v>-</v>
      </c>
      <c r="F28" s="230" t="s">
        <v>74</v>
      </c>
      <c r="G28" s="230"/>
      <c r="H28" s="230" t="s">
        <v>13</v>
      </c>
      <c r="I28" s="10">
        <v>0</v>
      </c>
      <c r="J28" s="6">
        <f t="shared" si="12"/>
        <v>11</v>
      </c>
      <c r="K28" s="16" t="str">
        <f t="shared" si="13"/>
        <v>A0</v>
      </c>
      <c r="L28" s="16" t="str">
        <f t="shared" si="14"/>
        <v>CSn011</v>
      </c>
      <c r="M28" s="16" t="str">
        <f t="shared" ca="1" si="16"/>
        <v>CS2011</v>
      </c>
      <c r="N28" s="227"/>
      <c r="O28" s="227"/>
      <c r="P28" s="227" t="s">
        <v>74</v>
      </c>
    </row>
    <row r="29" spans="1:54" x14ac:dyDescent="0.2">
      <c r="B29" s="152" t="s">
        <v>46</v>
      </c>
      <c r="C29" s="230" t="s">
        <v>135</v>
      </c>
      <c r="D29" s="230" t="s">
        <v>135</v>
      </c>
      <c r="E29" s="315" t="str">
        <f t="shared" si="15"/>
        <v>-</v>
      </c>
      <c r="F29" s="230" t="s">
        <v>74</v>
      </c>
      <c r="G29" s="230"/>
      <c r="H29" s="230" t="s">
        <v>13</v>
      </c>
      <c r="I29" s="10">
        <v>0</v>
      </c>
      <c r="J29" s="6">
        <f t="shared" si="12"/>
        <v>12</v>
      </c>
      <c r="K29" s="16" t="str">
        <f t="shared" si="13"/>
        <v>A1</v>
      </c>
      <c r="L29" s="16" t="str">
        <f t="shared" si="14"/>
        <v>CSn012</v>
      </c>
      <c r="M29" s="16" t="str">
        <f t="shared" ca="1" si="16"/>
        <v>CS2012</v>
      </c>
      <c r="N29" s="227"/>
      <c r="O29" s="227"/>
      <c r="P29" s="227" t="s">
        <v>74</v>
      </c>
    </row>
    <row r="30" spans="1:54" x14ac:dyDescent="0.2">
      <c r="B30" s="152" t="s">
        <v>46</v>
      </c>
      <c r="C30" s="230" t="s">
        <v>135</v>
      </c>
      <c r="D30" s="230" t="s">
        <v>135</v>
      </c>
      <c r="E30" s="315" t="str">
        <f t="shared" si="15"/>
        <v>-</v>
      </c>
      <c r="F30" s="230" t="s">
        <v>74</v>
      </c>
      <c r="G30" s="230"/>
      <c r="H30" s="230" t="s">
        <v>13</v>
      </c>
      <c r="I30" s="10">
        <v>0</v>
      </c>
      <c r="J30" s="6">
        <f t="shared" si="12"/>
        <v>13</v>
      </c>
      <c r="K30" s="16" t="str">
        <f t="shared" si="13"/>
        <v>A2</v>
      </c>
      <c r="L30" s="16" t="str">
        <f t="shared" si="14"/>
        <v>CSn013</v>
      </c>
      <c r="M30" s="16" t="str">
        <f t="shared" ca="1" si="16"/>
        <v>CS2013</v>
      </c>
      <c r="N30" s="227"/>
      <c r="O30" s="227"/>
      <c r="P30" s="227" t="s">
        <v>74</v>
      </c>
    </row>
    <row r="31" spans="1:54" x14ac:dyDescent="0.2">
      <c r="B31" s="152" t="s">
        <v>46</v>
      </c>
      <c r="C31" s="230" t="s">
        <v>135</v>
      </c>
      <c r="D31" s="230" t="s">
        <v>135</v>
      </c>
      <c r="E31" s="315" t="str">
        <f t="shared" si="15"/>
        <v>-</v>
      </c>
      <c r="F31" s="230" t="s">
        <v>74</v>
      </c>
      <c r="G31" s="230"/>
      <c r="H31" s="230" t="s">
        <v>13</v>
      </c>
      <c r="I31" s="10">
        <v>0</v>
      </c>
      <c r="J31" s="6">
        <f t="shared" si="12"/>
        <v>14</v>
      </c>
      <c r="K31" s="16" t="str">
        <f t="shared" si="13"/>
        <v>A3</v>
      </c>
      <c r="L31" s="16" t="str">
        <f t="shared" si="14"/>
        <v>CSn014</v>
      </c>
      <c r="M31" s="16" t="str">
        <f t="shared" ca="1" si="16"/>
        <v>CS2014</v>
      </c>
      <c r="N31" s="227"/>
      <c r="O31" s="227"/>
      <c r="P31" s="227" t="s">
        <v>74</v>
      </c>
    </row>
    <row r="32" spans="1:54" ht="16" thickBot="1" x14ac:dyDescent="0.25">
      <c r="B32" s="136" t="s">
        <v>46</v>
      </c>
      <c r="C32" s="137" t="s">
        <v>135</v>
      </c>
      <c r="D32" s="137" t="s">
        <v>135</v>
      </c>
      <c r="E32" s="317" t="str">
        <f t="shared" si="15"/>
        <v>-</v>
      </c>
      <c r="F32" s="137" t="s">
        <v>74</v>
      </c>
      <c r="G32" s="137"/>
      <c r="H32" s="137" t="s">
        <v>13</v>
      </c>
      <c r="I32" s="12">
        <v>0</v>
      </c>
      <c r="J32" s="7">
        <f t="shared" si="12"/>
        <v>15</v>
      </c>
      <c r="K32" s="19" t="str">
        <f t="shared" si="13"/>
        <v>A4</v>
      </c>
      <c r="L32" s="19" t="str">
        <f t="shared" si="14"/>
        <v>CSn015</v>
      </c>
      <c r="M32" s="19" t="str">
        <f t="shared" ca="1" si="16"/>
        <v>CS2015</v>
      </c>
      <c r="N32" s="228"/>
      <c r="O32" s="228"/>
      <c r="P32" s="228" t="s">
        <v>74</v>
      </c>
    </row>
    <row r="33" spans="2:16" x14ac:dyDescent="0.2">
      <c r="B33" s="238" t="s">
        <v>50</v>
      </c>
      <c r="C33" s="311" t="s">
        <v>704</v>
      </c>
      <c r="D33" s="239" t="s">
        <v>713</v>
      </c>
      <c r="E33" s="320" t="str">
        <f t="shared" si="15"/>
        <v>CTC_DOUBLE_TRACK:OME:DBL:HEAD0:RED</v>
      </c>
      <c r="F33" s="239" t="s">
        <v>74</v>
      </c>
      <c r="G33" s="325" t="s">
        <v>783</v>
      </c>
      <c r="H33" s="239" t="s">
        <v>17</v>
      </c>
      <c r="I33" s="237">
        <v>0</v>
      </c>
      <c r="J33" s="5">
        <f t="shared" si="12"/>
        <v>1</v>
      </c>
      <c r="K33" s="15" t="str">
        <f t="shared" si="13"/>
        <v>lo_DA0</v>
      </c>
      <c r="L33" s="15" t="str">
        <f t="shared" si="14"/>
        <v>CTn017</v>
      </c>
      <c r="M33" s="15" t="str">
        <f t="shared" ca="1" si="16"/>
        <v>CT2017</v>
      </c>
      <c r="N33" s="226" t="s">
        <v>600</v>
      </c>
      <c r="O33" s="226" t="s">
        <v>689</v>
      </c>
      <c r="P33" s="226" t="s">
        <v>722</v>
      </c>
    </row>
    <row r="34" spans="2:16" x14ac:dyDescent="0.2">
      <c r="B34" s="152" t="s">
        <v>50</v>
      </c>
      <c r="C34" s="230" t="s">
        <v>704</v>
      </c>
      <c r="D34" s="230" t="s">
        <v>713</v>
      </c>
      <c r="E34" s="315" t="str">
        <f t="shared" si="15"/>
        <v>CTC_DOUBLE_TRACK:OME:DBL:HEAD0:YEL</v>
      </c>
      <c r="F34" s="230" t="s">
        <v>74</v>
      </c>
      <c r="G34" s="230" t="s">
        <v>783</v>
      </c>
      <c r="H34" s="230" t="s">
        <v>17</v>
      </c>
      <c r="I34" s="10">
        <v>0</v>
      </c>
      <c r="J34" s="6">
        <f t="shared" si="12"/>
        <v>2</v>
      </c>
      <c r="K34" s="16" t="str">
        <f t="shared" si="13"/>
        <v>lo_DA1</v>
      </c>
      <c r="L34" s="16" t="str">
        <f t="shared" si="14"/>
        <v>CTn018</v>
      </c>
      <c r="M34" s="16" t="str">
        <f t="shared" ca="1" si="16"/>
        <v>CT2018</v>
      </c>
      <c r="N34" s="227" t="s">
        <v>601</v>
      </c>
      <c r="O34" s="227" t="s">
        <v>692</v>
      </c>
      <c r="P34" s="227" t="s">
        <v>723</v>
      </c>
    </row>
    <row r="35" spans="2:16" x14ac:dyDescent="0.2">
      <c r="B35" s="152" t="s">
        <v>50</v>
      </c>
      <c r="C35" s="230" t="s">
        <v>704</v>
      </c>
      <c r="D35" s="230" t="s">
        <v>713</v>
      </c>
      <c r="E35" s="315" t="str">
        <f t="shared" si="15"/>
        <v>CTC_DOUBLE_TRACK:OME:DBL:HEAD0:GRN</v>
      </c>
      <c r="F35" s="230" t="s">
        <v>74</v>
      </c>
      <c r="G35" s="230" t="s">
        <v>783</v>
      </c>
      <c r="H35" s="230" t="s">
        <v>17</v>
      </c>
      <c r="I35" s="10">
        <v>0</v>
      </c>
      <c r="J35" s="6">
        <f t="shared" si="12"/>
        <v>3</v>
      </c>
      <c r="K35" s="16" t="str">
        <f t="shared" si="13"/>
        <v>lo_DA2</v>
      </c>
      <c r="L35" s="16" t="str">
        <f t="shared" si="14"/>
        <v>CTn019</v>
      </c>
      <c r="M35" s="16" t="str">
        <f t="shared" ca="1" si="16"/>
        <v>CT2019</v>
      </c>
      <c r="N35" s="227" t="s">
        <v>602</v>
      </c>
      <c r="O35" s="227" t="s">
        <v>693</v>
      </c>
      <c r="P35" s="227" t="s">
        <v>721</v>
      </c>
    </row>
    <row r="36" spans="2:16" x14ac:dyDescent="0.2">
      <c r="B36" s="152" t="s">
        <v>50</v>
      </c>
      <c r="C36" s="230" t="s">
        <v>704</v>
      </c>
      <c r="D36" s="230" t="s">
        <v>713</v>
      </c>
      <c r="E36" s="315" t="str">
        <f t="shared" si="15"/>
        <v>CTC_DOUBLE_TRACK:OME:DBL:HEAD1:RED</v>
      </c>
      <c r="F36" s="230" t="s">
        <v>74</v>
      </c>
      <c r="G36" s="230" t="s">
        <v>783</v>
      </c>
      <c r="H36" s="230" t="s">
        <v>17</v>
      </c>
      <c r="I36" s="10">
        <v>0</v>
      </c>
      <c r="J36" s="6">
        <f t="shared" si="12"/>
        <v>4</v>
      </c>
      <c r="K36" s="16" t="str">
        <f t="shared" si="13"/>
        <v>lo_DA3</v>
      </c>
      <c r="L36" s="16" t="str">
        <f t="shared" si="14"/>
        <v>CTn020</v>
      </c>
      <c r="M36" s="16" t="str">
        <f t="shared" ca="1" si="16"/>
        <v>CT2020</v>
      </c>
      <c r="N36" s="227" t="s">
        <v>603</v>
      </c>
      <c r="O36" s="227" t="s">
        <v>694</v>
      </c>
      <c r="P36" s="227" t="s">
        <v>719</v>
      </c>
    </row>
    <row r="37" spans="2:16" x14ac:dyDescent="0.2">
      <c r="B37" s="152" t="s">
        <v>50</v>
      </c>
      <c r="C37" s="230" t="s">
        <v>704</v>
      </c>
      <c r="D37" s="230" t="s">
        <v>713</v>
      </c>
      <c r="E37" s="315" t="str">
        <f t="shared" si="15"/>
        <v>CTC_DOUBLE_TRACK:OME:DBL:HEAD1:YEL</v>
      </c>
      <c r="F37" s="230" t="s">
        <v>74</v>
      </c>
      <c r="G37" s="230" t="s">
        <v>783</v>
      </c>
      <c r="H37" s="230" t="s">
        <v>17</v>
      </c>
      <c r="I37" s="10">
        <v>0</v>
      </c>
      <c r="J37" s="6">
        <f t="shared" si="12"/>
        <v>5</v>
      </c>
      <c r="K37" s="16" t="str">
        <f t="shared" si="13"/>
        <v>lo_DA4</v>
      </c>
      <c r="L37" s="16" t="str">
        <f t="shared" si="14"/>
        <v>CTn021</v>
      </c>
      <c r="M37" s="16" t="str">
        <f t="shared" ca="1" si="16"/>
        <v>CT2021</v>
      </c>
      <c r="N37" s="227" t="s">
        <v>604</v>
      </c>
      <c r="O37" s="227" t="s">
        <v>695</v>
      </c>
      <c r="P37" s="227" t="s">
        <v>720</v>
      </c>
    </row>
    <row r="38" spans="2:16" x14ac:dyDescent="0.2">
      <c r="B38" s="152" t="s">
        <v>50</v>
      </c>
      <c r="C38" s="230" t="s">
        <v>704</v>
      </c>
      <c r="D38" s="230" t="s">
        <v>713</v>
      </c>
      <c r="E38" s="315" t="str">
        <f t="shared" si="15"/>
        <v>CTC_DOUBLE_TRACK:OME:DBL:HEAD1:GRN</v>
      </c>
      <c r="F38" s="230" t="s">
        <v>74</v>
      </c>
      <c r="G38" s="230" t="s">
        <v>783</v>
      </c>
      <c r="H38" s="230" t="s">
        <v>17</v>
      </c>
      <c r="I38" s="10">
        <v>0</v>
      </c>
      <c r="J38" s="6">
        <f t="shared" si="12"/>
        <v>6</v>
      </c>
      <c r="K38" s="16" t="str">
        <f t="shared" si="13"/>
        <v>lo_DA5</v>
      </c>
      <c r="L38" s="16" t="str">
        <f t="shared" si="14"/>
        <v>CTn022</v>
      </c>
      <c r="M38" s="16" t="str">
        <f t="shared" ca="1" si="16"/>
        <v>CT2022</v>
      </c>
      <c r="N38" s="227" t="s">
        <v>605</v>
      </c>
      <c r="O38" s="227" t="s">
        <v>691</v>
      </c>
      <c r="P38" s="227" t="s">
        <v>718</v>
      </c>
    </row>
    <row r="39" spans="2:16" x14ac:dyDescent="0.2">
      <c r="B39" s="152" t="s">
        <v>50</v>
      </c>
      <c r="C39" s="230" t="s">
        <v>704</v>
      </c>
      <c r="D39" s="230" t="s">
        <v>713</v>
      </c>
      <c r="E39" s="315" t="str">
        <f t="shared" si="15"/>
        <v>CTC_DOUBLE_TRACK:OMW:DBL:HEAD0:RED</v>
      </c>
      <c r="F39" s="230" t="s">
        <v>74</v>
      </c>
      <c r="G39" s="230" t="s">
        <v>783</v>
      </c>
      <c r="H39" s="230" t="s">
        <v>17</v>
      </c>
      <c r="I39" s="10">
        <v>0</v>
      </c>
      <c r="J39" s="6">
        <f t="shared" si="12"/>
        <v>7</v>
      </c>
      <c r="K39" s="16" t="str">
        <f t="shared" si="13"/>
        <v>lo_DA6</v>
      </c>
      <c r="L39" s="16" t="str">
        <f t="shared" si="14"/>
        <v>CTn023</v>
      </c>
      <c r="M39" s="16" t="str">
        <f t="shared" ca="1" si="16"/>
        <v>CT2023</v>
      </c>
      <c r="N39" s="227" t="s">
        <v>606</v>
      </c>
      <c r="O39" s="227" t="s">
        <v>690</v>
      </c>
      <c r="P39" s="227" t="s">
        <v>734</v>
      </c>
    </row>
    <row r="40" spans="2:16" x14ac:dyDescent="0.2">
      <c r="B40" s="152" t="s">
        <v>50</v>
      </c>
      <c r="C40" s="230" t="s">
        <v>704</v>
      </c>
      <c r="D40" s="230" t="s">
        <v>713</v>
      </c>
      <c r="E40" s="315" t="str">
        <f t="shared" si="15"/>
        <v>CTC_DOUBLE_TRACK:OMW:DBL:HEAD0:YEL</v>
      </c>
      <c r="F40" s="230" t="s">
        <v>74</v>
      </c>
      <c r="G40" s="230" t="s">
        <v>783</v>
      </c>
      <c r="H40" s="230" t="s">
        <v>17</v>
      </c>
      <c r="I40" s="10">
        <v>0</v>
      </c>
      <c r="J40" s="6">
        <f t="shared" si="12"/>
        <v>8</v>
      </c>
      <c r="K40" s="16" t="str">
        <f t="shared" si="13"/>
        <v>lo_DA7</v>
      </c>
      <c r="L40" s="16" t="str">
        <f t="shared" si="14"/>
        <v>CTn024</v>
      </c>
      <c r="M40" s="16" t="str">
        <f t="shared" ca="1" si="16"/>
        <v>CT2024</v>
      </c>
      <c r="N40" s="227" t="s">
        <v>607</v>
      </c>
      <c r="O40" s="227" t="s">
        <v>696</v>
      </c>
      <c r="P40" s="227" t="s">
        <v>735</v>
      </c>
    </row>
    <row r="41" spans="2:16" x14ac:dyDescent="0.2">
      <c r="B41" s="152" t="s">
        <v>50</v>
      </c>
      <c r="C41" s="230" t="s">
        <v>704</v>
      </c>
      <c r="D41" s="230" t="s">
        <v>713</v>
      </c>
      <c r="E41" s="315" t="str">
        <f t="shared" si="15"/>
        <v>CTC_DOUBLE_TRACK:OMW:DBL:HEAD0:GRN</v>
      </c>
      <c r="F41" s="230" t="s">
        <v>74</v>
      </c>
      <c r="G41" s="230" t="s">
        <v>783</v>
      </c>
      <c r="H41" s="230" t="s">
        <v>17</v>
      </c>
      <c r="I41" s="10">
        <v>0</v>
      </c>
      <c r="J41" s="6">
        <f t="shared" si="12"/>
        <v>9</v>
      </c>
      <c r="K41" s="16" t="str">
        <f t="shared" si="13"/>
        <v>lo_DB0</v>
      </c>
      <c r="L41" s="16" t="str">
        <f t="shared" si="14"/>
        <v>CTn025</v>
      </c>
      <c r="M41" s="16" t="str">
        <f t="shared" ca="1" si="16"/>
        <v>CT2025</v>
      </c>
      <c r="N41" s="227" t="s">
        <v>608</v>
      </c>
      <c r="O41" s="227" t="s">
        <v>688</v>
      </c>
      <c r="P41" s="227" t="s">
        <v>733</v>
      </c>
    </row>
    <row r="42" spans="2:16" x14ac:dyDescent="0.2">
      <c r="B42" s="152" t="s">
        <v>50</v>
      </c>
      <c r="C42" s="230" t="s">
        <v>704</v>
      </c>
      <c r="D42" s="230" t="s">
        <v>713</v>
      </c>
      <c r="E42" s="315" t="str">
        <f t="shared" si="15"/>
        <v>CTC_DOUBLE_TRACK:OMW:DBL:HEAD1:RED</v>
      </c>
      <c r="F42" s="230" t="s">
        <v>74</v>
      </c>
      <c r="G42" s="230" t="s">
        <v>783</v>
      </c>
      <c r="H42" s="230" t="s">
        <v>17</v>
      </c>
      <c r="I42" s="10">
        <v>0</v>
      </c>
      <c r="J42" s="6">
        <f t="shared" si="12"/>
        <v>10</v>
      </c>
      <c r="K42" s="16" t="str">
        <f t="shared" si="13"/>
        <v>lo_DB1</v>
      </c>
      <c r="L42" s="16" t="str">
        <f t="shared" si="14"/>
        <v>CTn026</v>
      </c>
      <c r="M42" s="16" t="str">
        <f t="shared" ca="1" si="16"/>
        <v>CT2026</v>
      </c>
      <c r="N42" s="227" t="s">
        <v>609</v>
      </c>
      <c r="O42" s="227" t="s">
        <v>697</v>
      </c>
      <c r="P42" s="227" t="s">
        <v>731</v>
      </c>
    </row>
    <row r="43" spans="2:16" x14ac:dyDescent="0.2">
      <c r="B43" s="152" t="s">
        <v>50</v>
      </c>
      <c r="C43" s="230" t="s">
        <v>704</v>
      </c>
      <c r="D43" s="230" t="s">
        <v>713</v>
      </c>
      <c r="E43" s="315" t="str">
        <f t="shared" si="15"/>
        <v>CTC_DOUBLE_TRACK:OMW:DBL:HEAD1:YEL</v>
      </c>
      <c r="F43" s="230" t="s">
        <v>74</v>
      </c>
      <c r="G43" s="230" t="s">
        <v>783</v>
      </c>
      <c r="H43" s="230" t="s">
        <v>17</v>
      </c>
      <c r="I43" s="10">
        <v>0</v>
      </c>
      <c r="J43" s="6">
        <f t="shared" si="12"/>
        <v>11</v>
      </c>
      <c r="K43" s="16" t="str">
        <f t="shared" si="13"/>
        <v>lo_DB2</v>
      </c>
      <c r="L43" s="16" t="str">
        <f t="shared" si="14"/>
        <v>CTn027</v>
      </c>
      <c r="M43" s="16" t="str">
        <f t="shared" ca="1" si="16"/>
        <v>CT2027</v>
      </c>
      <c r="N43" s="227" t="s">
        <v>610</v>
      </c>
      <c r="O43" s="227" t="s">
        <v>689</v>
      </c>
      <c r="P43" s="227" t="s">
        <v>732</v>
      </c>
    </row>
    <row r="44" spans="2:16" x14ac:dyDescent="0.2">
      <c r="B44" s="152" t="s">
        <v>50</v>
      </c>
      <c r="C44" s="230" t="s">
        <v>704</v>
      </c>
      <c r="D44" s="230" t="s">
        <v>713</v>
      </c>
      <c r="E44" s="315" t="str">
        <f t="shared" si="15"/>
        <v>CTC_DOUBLE_TRACK:OMW:DBL:HEAD1:GRN</v>
      </c>
      <c r="F44" s="230" t="s">
        <v>74</v>
      </c>
      <c r="G44" s="230" t="s">
        <v>783</v>
      </c>
      <c r="H44" s="230" t="s">
        <v>17</v>
      </c>
      <c r="I44" s="10">
        <v>0</v>
      </c>
      <c r="J44" s="6">
        <f t="shared" si="12"/>
        <v>12</v>
      </c>
      <c r="K44" s="16" t="str">
        <f t="shared" si="13"/>
        <v>lo_DB3</v>
      </c>
      <c r="L44" s="16" t="str">
        <f t="shared" si="14"/>
        <v>CTn028</v>
      </c>
      <c r="M44" s="16" t="str">
        <f t="shared" ca="1" si="16"/>
        <v>CT2028</v>
      </c>
      <c r="N44" s="227" t="s">
        <v>611</v>
      </c>
      <c r="O44" s="227" t="s">
        <v>692</v>
      </c>
      <c r="P44" s="227" t="s">
        <v>730</v>
      </c>
    </row>
    <row r="45" spans="2:16" x14ac:dyDescent="0.2">
      <c r="B45" s="152" t="s">
        <v>50</v>
      </c>
      <c r="C45" s="230" t="s">
        <v>135</v>
      </c>
      <c r="D45" s="230" t="s">
        <v>135</v>
      </c>
      <c r="E45" s="315" t="str">
        <f t="shared" si="15"/>
        <v>-</v>
      </c>
      <c r="F45" s="230" t="s">
        <v>74</v>
      </c>
      <c r="G45" s="230"/>
      <c r="H45" s="230" t="s">
        <v>17</v>
      </c>
      <c r="I45" s="10">
        <v>0</v>
      </c>
      <c r="J45" s="6">
        <f t="shared" si="12"/>
        <v>13</v>
      </c>
      <c r="K45" s="16" t="str">
        <f t="shared" si="13"/>
        <v>lo_DB4</v>
      </c>
      <c r="L45" s="16" t="str">
        <f t="shared" si="14"/>
        <v>CTn029</v>
      </c>
      <c r="M45" s="16" t="str">
        <f t="shared" ca="1" si="16"/>
        <v>CT2029</v>
      </c>
      <c r="N45" s="227"/>
      <c r="O45" s="227"/>
      <c r="P45" s="227" t="s">
        <v>74</v>
      </c>
    </row>
    <row r="46" spans="2:16" x14ac:dyDescent="0.2">
      <c r="B46" s="152" t="s">
        <v>50</v>
      </c>
      <c r="C46" s="230" t="s">
        <v>135</v>
      </c>
      <c r="D46" s="230" t="s">
        <v>135</v>
      </c>
      <c r="E46" s="315" t="str">
        <f t="shared" si="15"/>
        <v>-</v>
      </c>
      <c r="F46" s="230" t="s">
        <v>74</v>
      </c>
      <c r="G46" s="230"/>
      <c r="H46" s="230" t="s">
        <v>17</v>
      </c>
      <c r="I46" s="10">
        <v>0</v>
      </c>
      <c r="J46" s="6">
        <f t="shared" si="12"/>
        <v>14</v>
      </c>
      <c r="K46" s="16" t="str">
        <f t="shared" si="13"/>
        <v>lo_DB5</v>
      </c>
      <c r="L46" s="16" t="str">
        <f t="shared" si="14"/>
        <v>CTn030</v>
      </c>
      <c r="M46" s="16" t="str">
        <f t="shared" ca="1" si="16"/>
        <v>CT2030</v>
      </c>
      <c r="N46" s="227"/>
      <c r="O46" s="227"/>
      <c r="P46" s="227" t="s">
        <v>74</v>
      </c>
    </row>
    <row r="47" spans="2:16" x14ac:dyDescent="0.2">
      <c r="B47" s="152" t="s">
        <v>50</v>
      </c>
      <c r="C47" s="230" t="s">
        <v>135</v>
      </c>
      <c r="D47" s="230" t="s">
        <v>135</v>
      </c>
      <c r="E47" s="315" t="str">
        <f t="shared" si="15"/>
        <v>-</v>
      </c>
      <c r="F47" s="230" t="s">
        <v>74</v>
      </c>
      <c r="G47" s="230"/>
      <c r="H47" s="230" t="s">
        <v>17</v>
      </c>
      <c r="I47" s="10">
        <v>0</v>
      </c>
      <c r="J47" s="6">
        <f t="shared" si="12"/>
        <v>15</v>
      </c>
      <c r="K47" s="16" t="str">
        <f t="shared" si="13"/>
        <v>lo_DB6</v>
      </c>
      <c r="L47" s="16" t="str">
        <f t="shared" si="14"/>
        <v>CTn031</v>
      </c>
      <c r="M47" s="16" t="str">
        <f t="shared" ca="1" si="16"/>
        <v>CT2031</v>
      </c>
      <c r="N47" s="227"/>
      <c r="O47" s="227"/>
      <c r="P47" s="227" t="s">
        <v>74</v>
      </c>
    </row>
    <row r="48" spans="2:16" x14ac:dyDescent="0.2">
      <c r="B48" s="152" t="s">
        <v>50</v>
      </c>
      <c r="C48" s="230" t="s">
        <v>135</v>
      </c>
      <c r="D48" s="230" t="s">
        <v>135</v>
      </c>
      <c r="E48" s="315" t="str">
        <f t="shared" si="15"/>
        <v>-</v>
      </c>
      <c r="F48" s="230" t="s">
        <v>74</v>
      </c>
      <c r="G48" s="230"/>
      <c r="H48" s="230" t="s">
        <v>17</v>
      </c>
      <c r="I48" s="10">
        <v>0</v>
      </c>
      <c r="J48" s="6">
        <f t="shared" si="12"/>
        <v>16</v>
      </c>
      <c r="K48" s="16" t="str">
        <f t="shared" si="13"/>
        <v>lo_DB7</v>
      </c>
      <c r="L48" s="16" t="str">
        <f t="shared" si="14"/>
        <v>CTn032</v>
      </c>
      <c r="M48" s="16" t="str">
        <f t="shared" ca="1" si="16"/>
        <v>CT2032</v>
      </c>
      <c r="N48" s="227"/>
      <c r="O48" s="227"/>
      <c r="P48" s="227" t="s">
        <v>74</v>
      </c>
    </row>
    <row r="49" spans="2:16" x14ac:dyDescent="0.2">
      <c r="B49" s="152" t="s">
        <v>50</v>
      </c>
      <c r="C49" s="230" t="s">
        <v>704</v>
      </c>
      <c r="D49" s="230" t="s">
        <v>713</v>
      </c>
      <c r="E49" s="315" t="str">
        <f t="shared" si="15"/>
        <v>CTC_DOUBLE_TRACK:IME:DBL:HEAD0:RED</v>
      </c>
      <c r="F49" s="230" t="s">
        <v>74</v>
      </c>
      <c r="G49" s="230" t="s">
        <v>783</v>
      </c>
      <c r="H49" s="230" t="s">
        <v>17</v>
      </c>
      <c r="I49" s="10">
        <v>0</v>
      </c>
      <c r="J49" s="6">
        <f t="shared" si="12"/>
        <v>17</v>
      </c>
      <c r="K49" s="16" t="str">
        <f t="shared" si="13"/>
        <v>hi_DA0</v>
      </c>
      <c r="L49" s="16" t="str">
        <f t="shared" si="14"/>
        <v>CTn033</v>
      </c>
      <c r="M49" s="16" t="str">
        <f t="shared" ca="1" si="16"/>
        <v>CT2033</v>
      </c>
      <c r="N49" s="227" t="s">
        <v>612</v>
      </c>
      <c r="O49" s="227" t="s">
        <v>689</v>
      </c>
      <c r="P49" s="227" t="s">
        <v>765</v>
      </c>
    </row>
    <row r="50" spans="2:16" x14ac:dyDescent="0.2">
      <c r="B50" s="152" t="s">
        <v>50</v>
      </c>
      <c r="C50" s="230" t="s">
        <v>704</v>
      </c>
      <c r="D50" s="230" t="s">
        <v>713</v>
      </c>
      <c r="E50" s="315" t="str">
        <f t="shared" si="15"/>
        <v>CTC_DOUBLE_TRACK:IME:DBL:HEAD0:YEL</v>
      </c>
      <c r="F50" s="230" t="s">
        <v>74</v>
      </c>
      <c r="G50" s="230" t="s">
        <v>783</v>
      </c>
      <c r="H50" s="230" t="s">
        <v>17</v>
      </c>
      <c r="I50" s="10">
        <v>0</v>
      </c>
      <c r="J50" s="6">
        <f t="shared" si="12"/>
        <v>18</v>
      </c>
      <c r="K50" s="16" t="str">
        <f t="shared" si="13"/>
        <v>hi_DA1</v>
      </c>
      <c r="L50" s="16" t="str">
        <f t="shared" si="14"/>
        <v>CTn034</v>
      </c>
      <c r="M50" s="16" t="str">
        <f t="shared" ca="1" si="16"/>
        <v>CT2034</v>
      </c>
      <c r="N50" s="227" t="s">
        <v>613</v>
      </c>
      <c r="O50" s="227" t="s">
        <v>692</v>
      </c>
      <c r="P50" s="227" t="s">
        <v>766</v>
      </c>
    </row>
    <row r="51" spans="2:16" x14ac:dyDescent="0.2">
      <c r="B51" s="152" t="s">
        <v>50</v>
      </c>
      <c r="C51" s="230" t="s">
        <v>704</v>
      </c>
      <c r="D51" s="230" t="s">
        <v>713</v>
      </c>
      <c r="E51" s="315" t="str">
        <f t="shared" si="15"/>
        <v>CTC_DOUBLE_TRACK:IME:DBL:HEAD0:GRN</v>
      </c>
      <c r="F51" s="230" t="s">
        <v>74</v>
      </c>
      <c r="G51" s="230" t="s">
        <v>783</v>
      </c>
      <c r="H51" s="230" t="s">
        <v>17</v>
      </c>
      <c r="I51" s="10">
        <v>0</v>
      </c>
      <c r="J51" s="6">
        <f t="shared" si="12"/>
        <v>19</v>
      </c>
      <c r="K51" s="16" t="str">
        <f t="shared" si="13"/>
        <v>hi_DA2</v>
      </c>
      <c r="L51" s="16" t="str">
        <f t="shared" si="14"/>
        <v>CTn035</v>
      </c>
      <c r="M51" s="16" t="str">
        <f t="shared" ca="1" si="16"/>
        <v>CT2035</v>
      </c>
      <c r="N51" s="227" t="s">
        <v>614</v>
      </c>
      <c r="O51" s="227" t="s">
        <v>693</v>
      </c>
      <c r="P51" s="227" t="s">
        <v>764</v>
      </c>
    </row>
    <row r="52" spans="2:16" x14ac:dyDescent="0.2">
      <c r="B52" s="152" t="s">
        <v>50</v>
      </c>
      <c r="C52" s="230" t="s">
        <v>704</v>
      </c>
      <c r="D52" s="230" t="s">
        <v>713</v>
      </c>
      <c r="E52" s="315" t="str">
        <f t="shared" si="15"/>
        <v>CTC_DOUBLE_TRACK:IME:DBL:HEAD1:RED</v>
      </c>
      <c r="F52" s="230" t="s">
        <v>74</v>
      </c>
      <c r="G52" s="230" t="s">
        <v>783</v>
      </c>
      <c r="H52" s="230" t="s">
        <v>17</v>
      </c>
      <c r="I52" s="10">
        <v>0</v>
      </c>
      <c r="J52" s="6">
        <f t="shared" si="12"/>
        <v>20</v>
      </c>
      <c r="K52" s="16" t="str">
        <f t="shared" si="13"/>
        <v>hi_DA3</v>
      </c>
      <c r="L52" s="16" t="str">
        <f t="shared" si="14"/>
        <v>CTn036</v>
      </c>
      <c r="M52" s="16" t="str">
        <f t="shared" ca="1" si="16"/>
        <v>CT2036</v>
      </c>
      <c r="N52" s="227" t="s">
        <v>615</v>
      </c>
      <c r="O52" s="227" t="s">
        <v>694</v>
      </c>
      <c r="P52" s="227" t="s">
        <v>762</v>
      </c>
    </row>
    <row r="53" spans="2:16" x14ac:dyDescent="0.2">
      <c r="B53" s="152" t="s">
        <v>50</v>
      </c>
      <c r="C53" s="230" t="s">
        <v>704</v>
      </c>
      <c r="D53" s="230" t="s">
        <v>713</v>
      </c>
      <c r="E53" s="315" t="str">
        <f t="shared" si="15"/>
        <v>CTC_DOUBLE_TRACK:IME:DBL:HEAD1:YEL</v>
      </c>
      <c r="F53" s="230" t="s">
        <v>74</v>
      </c>
      <c r="G53" s="230" t="s">
        <v>783</v>
      </c>
      <c r="H53" s="230" t="s">
        <v>17</v>
      </c>
      <c r="I53" s="10">
        <v>0</v>
      </c>
      <c r="J53" s="6">
        <f t="shared" si="12"/>
        <v>21</v>
      </c>
      <c r="K53" s="16" t="str">
        <f t="shared" si="13"/>
        <v>hi_DA4</v>
      </c>
      <c r="L53" s="16" t="str">
        <f t="shared" si="14"/>
        <v>CSn037</v>
      </c>
      <c r="M53" s="16" t="str">
        <f t="shared" ca="1" si="16"/>
        <v>CS2037</v>
      </c>
      <c r="N53" s="227" t="s">
        <v>616</v>
      </c>
      <c r="O53" s="227" t="s">
        <v>695</v>
      </c>
      <c r="P53" s="227" t="s">
        <v>763</v>
      </c>
    </row>
    <row r="54" spans="2:16" x14ac:dyDescent="0.2">
      <c r="B54" s="152" t="s">
        <v>50</v>
      </c>
      <c r="C54" s="230" t="s">
        <v>704</v>
      </c>
      <c r="D54" s="230" t="s">
        <v>713</v>
      </c>
      <c r="E54" s="315" t="str">
        <f t="shared" si="15"/>
        <v>CTC_DOUBLE_TRACK:IME:DBL:HEAD1:GRN</v>
      </c>
      <c r="F54" s="230" t="s">
        <v>74</v>
      </c>
      <c r="G54" s="230" t="s">
        <v>783</v>
      </c>
      <c r="H54" s="230" t="s">
        <v>17</v>
      </c>
      <c r="I54" s="10">
        <v>0</v>
      </c>
      <c r="J54" s="6">
        <f t="shared" si="12"/>
        <v>22</v>
      </c>
      <c r="K54" s="16" t="str">
        <f t="shared" si="13"/>
        <v>hi_DA5</v>
      </c>
      <c r="L54" s="16" t="str">
        <f t="shared" si="14"/>
        <v>CTn038</v>
      </c>
      <c r="M54" s="16" t="str">
        <f t="shared" ca="1" si="16"/>
        <v>CT2038</v>
      </c>
      <c r="N54" s="227" t="s">
        <v>617</v>
      </c>
      <c r="O54" s="227" t="s">
        <v>691</v>
      </c>
      <c r="P54" s="227" t="s">
        <v>761</v>
      </c>
    </row>
    <row r="55" spans="2:16" x14ac:dyDescent="0.2">
      <c r="B55" s="152" t="s">
        <v>50</v>
      </c>
      <c r="C55" s="230" t="s">
        <v>704</v>
      </c>
      <c r="D55" s="230" t="s">
        <v>713</v>
      </c>
      <c r="E55" s="315" t="str">
        <f t="shared" si="15"/>
        <v>CTC_DOUBLE_TRACK:IMW:DBL:HEAD0:RED</v>
      </c>
      <c r="F55" s="230" t="s">
        <v>74</v>
      </c>
      <c r="G55" s="230" t="s">
        <v>783</v>
      </c>
      <c r="H55" s="230" t="s">
        <v>17</v>
      </c>
      <c r="I55" s="10">
        <v>0</v>
      </c>
      <c r="J55" s="6">
        <f t="shared" si="12"/>
        <v>23</v>
      </c>
      <c r="K55" s="16" t="str">
        <f t="shared" si="13"/>
        <v>hi_DA6</v>
      </c>
      <c r="L55" s="16" t="str">
        <f t="shared" si="14"/>
        <v>CTn039</v>
      </c>
      <c r="M55" s="16" t="str">
        <f t="shared" ca="1" si="16"/>
        <v>CT2039</v>
      </c>
      <c r="N55" s="227" t="s">
        <v>618</v>
      </c>
      <c r="O55" s="227" t="s">
        <v>690</v>
      </c>
      <c r="P55" s="227" t="s">
        <v>750</v>
      </c>
    </row>
    <row r="56" spans="2:16" x14ac:dyDescent="0.2">
      <c r="B56" s="152" t="s">
        <v>50</v>
      </c>
      <c r="C56" s="230" t="s">
        <v>704</v>
      </c>
      <c r="D56" s="230" t="s">
        <v>713</v>
      </c>
      <c r="E56" s="315" t="str">
        <f t="shared" si="15"/>
        <v>CTC_DOUBLE_TRACK:IMW:DBL:HEAD0:YEL</v>
      </c>
      <c r="F56" s="230" t="s">
        <v>74</v>
      </c>
      <c r="G56" s="230" t="s">
        <v>783</v>
      </c>
      <c r="H56" s="230" t="s">
        <v>17</v>
      </c>
      <c r="I56" s="10">
        <v>0</v>
      </c>
      <c r="J56" s="6">
        <f t="shared" si="12"/>
        <v>24</v>
      </c>
      <c r="K56" s="16" t="str">
        <f t="shared" si="13"/>
        <v>hi_DA7</v>
      </c>
      <c r="L56" s="16" t="str">
        <f t="shared" si="14"/>
        <v>CTn040</v>
      </c>
      <c r="M56" s="16" t="str">
        <f t="shared" ca="1" si="16"/>
        <v>CT2040</v>
      </c>
      <c r="N56" s="227" t="s">
        <v>619</v>
      </c>
      <c r="O56" s="227" t="s">
        <v>696</v>
      </c>
      <c r="P56" s="227" t="s">
        <v>751</v>
      </c>
    </row>
    <row r="57" spans="2:16" x14ac:dyDescent="0.2">
      <c r="B57" s="152" t="s">
        <v>50</v>
      </c>
      <c r="C57" s="230" t="s">
        <v>704</v>
      </c>
      <c r="D57" s="230" t="s">
        <v>713</v>
      </c>
      <c r="E57" s="315" t="str">
        <f t="shared" si="15"/>
        <v>CTC_DOUBLE_TRACK:IMW:DBL:HEAD0:GRN</v>
      </c>
      <c r="F57" s="230" t="s">
        <v>74</v>
      </c>
      <c r="G57" s="230" t="s">
        <v>783</v>
      </c>
      <c r="H57" s="230" t="s">
        <v>17</v>
      </c>
      <c r="I57" s="10">
        <v>0</v>
      </c>
      <c r="J57" s="6">
        <f t="shared" si="12"/>
        <v>25</v>
      </c>
      <c r="K57" s="16" t="str">
        <f t="shared" si="13"/>
        <v>hi_DB0</v>
      </c>
      <c r="L57" s="16" t="str">
        <f t="shared" si="14"/>
        <v>CTn041</v>
      </c>
      <c r="M57" s="16" t="str">
        <f t="shared" ca="1" si="16"/>
        <v>CT2041</v>
      </c>
      <c r="N57" s="227" t="s">
        <v>620</v>
      </c>
      <c r="O57" s="227" t="s">
        <v>688</v>
      </c>
      <c r="P57" s="227" t="s">
        <v>749</v>
      </c>
    </row>
    <row r="58" spans="2:16" x14ac:dyDescent="0.2">
      <c r="B58" s="152" t="s">
        <v>50</v>
      </c>
      <c r="C58" s="230" t="s">
        <v>704</v>
      </c>
      <c r="D58" s="230" t="s">
        <v>713</v>
      </c>
      <c r="E58" s="315" t="str">
        <f t="shared" si="15"/>
        <v>CTC_DOUBLE_TRACK:IMW:DBL:HEAD1:RED</v>
      </c>
      <c r="F58" s="230" t="s">
        <v>74</v>
      </c>
      <c r="G58" s="230" t="s">
        <v>783</v>
      </c>
      <c r="H58" s="230" t="s">
        <v>17</v>
      </c>
      <c r="I58" s="10">
        <v>0</v>
      </c>
      <c r="J58" s="6">
        <f t="shared" si="12"/>
        <v>26</v>
      </c>
      <c r="K58" s="16" t="str">
        <f t="shared" si="13"/>
        <v>hi_DB1</v>
      </c>
      <c r="L58" s="16" t="str">
        <f t="shared" si="14"/>
        <v>CTn042</v>
      </c>
      <c r="M58" s="16" t="str">
        <f t="shared" ca="1" si="16"/>
        <v>CT2042</v>
      </c>
      <c r="N58" s="227" t="s">
        <v>621</v>
      </c>
      <c r="O58" s="227" t="s">
        <v>697</v>
      </c>
      <c r="P58" s="227" t="s">
        <v>747</v>
      </c>
    </row>
    <row r="59" spans="2:16" x14ac:dyDescent="0.2">
      <c r="B59" s="152" t="s">
        <v>50</v>
      </c>
      <c r="C59" s="230" t="s">
        <v>704</v>
      </c>
      <c r="D59" s="230" t="s">
        <v>713</v>
      </c>
      <c r="E59" s="315" t="str">
        <f t="shared" si="15"/>
        <v>CTC_DOUBLE_TRACK:IMW:DBL:HEAD1:YEL</v>
      </c>
      <c r="F59" s="230" t="s">
        <v>74</v>
      </c>
      <c r="G59" s="230" t="s">
        <v>783</v>
      </c>
      <c r="H59" s="230" t="s">
        <v>17</v>
      </c>
      <c r="I59" s="10">
        <v>0</v>
      </c>
      <c r="J59" s="6">
        <f t="shared" si="12"/>
        <v>27</v>
      </c>
      <c r="K59" s="16" t="str">
        <f t="shared" si="13"/>
        <v>hi_DB2</v>
      </c>
      <c r="L59" s="16" t="str">
        <f t="shared" si="14"/>
        <v>CTn043</v>
      </c>
      <c r="M59" s="16" t="str">
        <f t="shared" ca="1" si="16"/>
        <v>CT2043</v>
      </c>
      <c r="N59" s="227" t="s">
        <v>622</v>
      </c>
      <c r="O59" s="227" t="s">
        <v>689</v>
      </c>
      <c r="P59" s="227" t="s">
        <v>748</v>
      </c>
    </row>
    <row r="60" spans="2:16" x14ac:dyDescent="0.2">
      <c r="B60" s="152" t="s">
        <v>50</v>
      </c>
      <c r="C60" s="230" t="s">
        <v>704</v>
      </c>
      <c r="D60" s="230" t="s">
        <v>713</v>
      </c>
      <c r="E60" s="315" t="str">
        <f t="shared" si="15"/>
        <v>CTC_DOUBLE_TRACK:IMW:DBL:HEAD1:GRN</v>
      </c>
      <c r="F60" s="230" t="s">
        <v>74</v>
      </c>
      <c r="G60" s="230" t="s">
        <v>783</v>
      </c>
      <c r="H60" s="230" t="s">
        <v>17</v>
      </c>
      <c r="I60" s="10">
        <v>0</v>
      </c>
      <c r="J60" s="6">
        <f t="shared" si="12"/>
        <v>28</v>
      </c>
      <c r="K60" s="16" t="str">
        <f t="shared" si="13"/>
        <v>hi_DB3</v>
      </c>
      <c r="L60" s="16" t="str">
        <f t="shared" si="14"/>
        <v>CTn044</v>
      </c>
      <c r="M60" s="16" t="str">
        <f t="shared" ca="1" si="16"/>
        <v>CT2044</v>
      </c>
      <c r="N60" s="227" t="s">
        <v>623</v>
      </c>
      <c r="O60" s="227" t="s">
        <v>692</v>
      </c>
      <c r="P60" s="227" t="s">
        <v>746</v>
      </c>
    </row>
    <row r="61" spans="2:16" x14ac:dyDescent="0.2">
      <c r="B61" s="152" t="s">
        <v>50</v>
      </c>
      <c r="C61" s="230" t="s">
        <v>135</v>
      </c>
      <c r="D61" s="230" t="s">
        <v>135</v>
      </c>
      <c r="E61" s="315" t="str">
        <f t="shared" si="15"/>
        <v>-</v>
      </c>
      <c r="F61" s="230" t="s">
        <v>74</v>
      </c>
      <c r="G61" s="230"/>
      <c r="H61" s="230" t="s">
        <v>17</v>
      </c>
      <c r="I61" s="10">
        <v>0</v>
      </c>
      <c r="J61" s="6">
        <f t="shared" si="12"/>
        <v>29</v>
      </c>
      <c r="K61" s="16" t="str">
        <f t="shared" si="13"/>
        <v>hi_DB4</v>
      </c>
      <c r="L61" s="16" t="str">
        <f t="shared" si="14"/>
        <v>CTn045</v>
      </c>
      <c r="M61" s="16" t="str">
        <f t="shared" ca="1" si="16"/>
        <v>CT2045</v>
      </c>
      <c r="N61" s="227"/>
      <c r="O61" s="227"/>
      <c r="P61" s="227" t="s">
        <v>74</v>
      </c>
    </row>
    <row r="62" spans="2:16" x14ac:dyDescent="0.2">
      <c r="B62" s="152" t="s">
        <v>50</v>
      </c>
      <c r="C62" s="230" t="s">
        <v>135</v>
      </c>
      <c r="D62" s="230" t="s">
        <v>135</v>
      </c>
      <c r="E62" s="315" t="str">
        <f t="shared" si="15"/>
        <v>-</v>
      </c>
      <c r="F62" s="230" t="s">
        <v>74</v>
      </c>
      <c r="G62" s="230"/>
      <c r="H62" s="230" t="s">
        <v>17</v>
      </c>
      <c r="I62" s="10">
        <v>0</v>
      </c>
      <c r="J62" s="6">
        <f t="shared" si="12"/>
        <v>30</v>
      </c>
      <c r="K62" s="16" t="str">
        <f t="shared" si="13"/>
        <v>hi_DB5</v>
      </c>
      <c r="L62" s="16" t="str">
        <f t="shared" si="14"/>
        <v>CTn046</v>
      </c>
      <c r="M62" s="16" t="str">
        <f t="shared" ca="1" si="16"/>
        <v>CT2046</v>
      </c>
      <c r="N62" s="227"/>
      <c r="O62" s="227"/>
      <c r="P62" s="227" t="s">
        <v>74</v>
      </c>
    </row>
    <row r="63" spans="2:16" x14ac:dyDescent="0.2">
      <c r="B63" s="152" t="s">
        <v>50</v>
      </c>
      <c r="C63" s="230" t="s">
        <v>135</v>
      </c>
      <c r="D63" s="230" t="s">
        <v>135</v>
      </c>
      <c r="E63" s="315" t="str">
        <f t="shared" si="15"/>
        <v>-</v>
      </c>
      <c r="F63" s="230" t="s">
        <v>74</v>
      </c>
      <c r="G63" s="230"/>
      <c r="H63" s="230" t="s">
        <v>17</v>
      </c>
      <c r="I63" s="10">
        <v>0</v>
      </c>
      <c r="J63" s="6">
        <f t="shared" si="12"/>
        <v>31</v>
      </c>
      <c r="K63" s="16" t="str">
        <f t="shared" si="13"/>
        <v>hi_DB6</v>
      </c>
      <c r="L63" s="16" t="str">
        <f t="shared" si="14"/>
        <v>CTn047</v>
      </c>
      <c r="M63" s="16" t="str">
        <f t="shared" ca="1" si="16"/>
        <v>CT2047</v>
      </c>
      <c r="N63" s="227"/>
      <c r="O63" s="227"/>
      <c r="P63" s="227" t="s">
        <v>74</v>
      </c>
    </row>
    <row r="64" spans="2:16" ht="16" thickBot="1" x14ac:dyDescent="0.25">
      <c r="B64" s="136" t="s">
        <v>50</v>
      </c>
      <c r="C64" s="137" t="s">
        <v>135</v>
      </c>
      <c r="D64" s="137" t="s">
        <v>135</v>
      </c>
      <c r="E64" s="317" t="str">
        <f t="shared" si="15"/>
        <v>-</v>
      </c>
      <c r="F64" s="137" t="s">
        <v>74</v>
      </c>
      <c r="G64" s="137"/>
      <c r="H64" s="137" t="s">
        <v>17</v>
      </c>
      <c r="I64" s="12">
        <v>0</v>
      </c>
      <c r="J64" s="7">
        <f t="shared" si="12"/>
        <v>32</v>
      </c>
      <c r="K64" s="19" t="str">
        <f t="shared" si="13"/>
        <v>hi_DB7</v>
      </c>
      <c r="L64" s="19" t="str">
        <f t="shared" si="14"/>
        <v>CTn048</v>
      </c>
      <c r="M64" s="19" t="str">
        <f t="shared" ca="1" si="16"/>
        <v>CT2048</v>
      </c>
      <c r="N64" s="228"/>
      <c r="O64" s="228"/>
      <c r="P64" s="228" t="s">
        <v>74</v>
      </c>
    </row>
    <row r="65" spans="2:16" x14ac:dyDescent="0.2">
      <c r="B65" s="238" t="s">
        <v>50</v>
      </c>
      <c r="C65" s="239" t="s">
        <v>135</v>
      </c>
      <c r="D65" s="239" t="s">
        <v>135</v>
      </c>
      <c r="E65" s="320" t="str">
        <f t="shared" si="15"/>
        <v>-</v>
      </c>
      <c r="F65" s="239" t="s">
        <v>74</v>
      </c>
      <c r="G65" s="325"/>
      <c r="H65" s="239" t="s">
        <v>74</v>
      </c>
      <c r="I65" s="237">
        <f t="shared" ref="I65:I96" si="17">IF(LEFT(H65,4)="BASE",0,IF(LEFT(H65,3)="IOX", VALUE(MID(H65,4,2))*VALUE(RIGHT(H65,1)),0))</f>
        <v>0</v>
      </c>
      <c r="J65" s="5">
        <v>1</v>
      </c>
      <c r="K65" s="15" t="e">
        <f t="shared" si="13"/>
        <v>#N/A</v>
      </c>
      <c r="L65" s="15" t="e">
        <f t="shared" si="14"/>
        <v>#N/A</v>
      </c>
      <c r="M65" s="15" t="e">
        <f t="shared" ca="1" si="16"/>
        <v>#N/A</v>
      </c>
      <c r="N65" s="226"/>
      <c r="O65" s="226"/>
      <c r="P65" s="226" t="s">
        <v>74</v>
      </c>
    </row>
    <row r="66" spans="2:16" x14ac:dyDescent="0.2">
      <c r="B66" s="152" t="s">
        <v>50</v>
      </c>
      <c r="C66" s="230" t="s">
        <v>135</v>
      </c>
      <c r="D66" s="230" t="s">
        <v>135</v>
      </c>
      <c r="E66" s="315" t="str">
        <f t="shared" si="15"/>
        <v>-</v>
      </c>
      <c r="F66" s="230" t="s">
        <v>74</v>
      </c>
      <c r="G66" s="230"/>
      <c r="H66" s="230" t="s">
        <v>74</v>
      </c>
      <c r="I66" s="10">
        <f t="shared" si="17"/>
        <v>0</v>
      </c>
      <c r="J66" s="6">
        <f t="shared" ref="J66:J96" si="18">IF(AND(H66=H65,B66=B65), J65+1,1)</f>
        <v>2</v>
      </c>
      <c r="K66" s="16" t="e">
        <f t="shared" si="13"/>
        <v>#N/A</v>
      </c>
      <c r="L66" s="16" t="e">
        <f t="shared" si="14"/>
        <v>#N/A</v>
      </c>
      <c r="M66" s="16" t="e">
        <f t="shared" ca="1" si="16"/>
        <v>#N/A</v>
      </c>
      <c r="N66" s="227"/>
      <c r="O66" s="227"/>
      <c r="P66" s="227" t="s">
        <v>74</v>
      </c>
    </row>
    <row r="67" spans="2:16" x14ac:dyDescent="0.2">
      <c r="B67" s="152" t="s">
        <v>50</v>
      </c>
      <c r="C67" s="230" t="s">
        <v>135</v>
      </c>
      <c r="D67" s="230" t="s">
        <v>135</v>
      </c>
      <c r="E67" s="315" t="str">
        <f t="shared" si="15"/>
        <v>-</v>
      </c>
      <c r="F67" s="230" t="s">
        <v>74</v>
      </c>
      <c r="G67" s="230"/>
      <c r="H67" s="230" t="s">
        <v>74</v>
      </c>
      <c r="I67" s="10">
        <f t="shared" si="17"/>
        <v>0</v>
      </c>
      <c r="J67" s="6">
        <f t="shared" si="18"/>
        <v>3</v>
      </c>
      <c r="K67" s="16" t="e">
        <f t="shared" si="13"/>
        <v>#N/A</v>
      </c>
      <c r="L67" s="16" t="e">
        <f t="shared" si="14"/>
        <v>#N/A</v>
      </c>
      <c r="M67" s="16" t="e">
        <f t="shared" ca="1" si="16"/>
        <v>#N/A</v>
      </c>
      <c r="N67" s="227"/>
      <c r="O67" s="227"/>
      <c r="P67" s="227" t="s">
        <v>74</v>
      </c>
    </row>
    <row r="68" spans="2:16" x14ac:dyDescent="0.2">
      <c r="B68" s="152" t="s">
        <v>50</v>
      </c>
      <c r="C68" s="230" t="s">
        <v>135</v>
      </c>
      <c r="D68" s="230" t="s">
        <v>135</v>
      </c>
      <c r="E68" s="315" t="str">
        <f t="shared" si="15"/>
        <v>-</v>
      </c>
      <c r="F68" s="230" t="s">
        <v>74</v>
      </c>
      <c r="G68" s="230"/>
      <c r="H68" s="230" t="s">
        <v>74</v>
      </c>
      <c r="I68" s="10">
        <f t="shared" si="17"/>
        <v>0</v>
      </c>
      <c r="J68" s="6">
        <f t="shared" si="18"/>
        <v>4</v>
      </c>
      <c r="K68" s="16" t="e">
        <f t="shared" si="13"/>
        <v>#N/A</v>
      </c>
      <c r="L68" s="16" t="e">
        <f t="shared" si="14"/>
        <v>#N/A</v>
      </c>
      <c r="M68" s="16" t="e">
        <f t="shared" ca="1" si="16"/>
        <v>#N/A</v>
      </c>
      <c r="N68" s="227"/>
      <c r="O68" s="227"/>
      <c r="P68" s="227" t="s">
        <v>74</v>
      </c>
    </row>
    <row r="69" spans="2:16" x14ac:dyDescent="0.2">
      <c r="B69" s="152" t="s">
        <v>50</v>
      </c>
      <c r="C69" s="230" t="s">
        <v>135</v>
      </c>
      <c r="D69" s="230" t="s">
        <v>135</v>
      </c>
      <c r="E69" s="315" t="str">
        <f t="shared" si="15"/>
        <v>-</v>
      </c>
      <c r="F69" s="230" t="s">
        <v>74</v>
      </c>
      <c r="G69" s="230"/>
      <c r="H69" s="230" t="s">
        <v>74</v>
      </c>
      <c r="I69" s="10">
        <f t="shared" si="17"/>
        <v>0</v>
      </c>
      <c r="J69" s="10">
        <f t="shared" si="18"/>
        <v>5</v>
      </c>
      <c r="K69" s="17" t="e">
        <f t="shared" si="13"/>
        <v>#N/A</v>
      </c>
      <c r="L69" s="17" t="e">
        <f t="shared" si="14"/>
        <v>#N/A</v>
      </c>
      <c r="M69" s="17" t="e">
        <f t="shared" ca="1" si="16"/>
        <v>#N/A</v>
      </c>
      <c r="N69" s="227"/>
      <c r="O69" s="227"/>
      <c r="P69" s="227" t="s">
        <v>74</v>
      </c>
    </row>
    <row r="70" spans="2:16" x14ac:dyDescent="0.2">
      <c r="B70" s="152" t="s">
        <v>50</v>
      </c>
      <c r="C70" s="230" t="s">
        <v>135</v>
      </c>
      <c r="D70" s="230" t="s">
        <v>135</v>
      </c>
      <c r="E70" s="315" t="str">
        <f t="shared" si="15"/>
        <v>-</v>
      </c>
      <c r="F70" s="230" t="s">
        <v>74</v>
      </c>
      <c r="G70" s="230"/>
      <c r="H70" s="230" t="s">
        <v>74</v>
      </c>
      <c r="I70" s="10">
        <f t="shared" si="17"/>
        <v>0</v>
      </c>
      <c r="J70" s="10">
        <f t="shared" si="18"/>
        <v>6</v>
      </c>
      <c r="K70" s="17" t="e">
        <f t="shared" si="13"/>
        <v>#N/A</v>
      </c>
      <c r="L70" s="17" t="e">
        <f t="shared" si="14"/>
        <v>#N/A</v>
      </c>
      <c r="M70" s="17" t="e">
        <f t="shared" ca="1" si="16"/>
        <v>#N/A</v>
      </c>
      <c r="N70" s="227"/>
      <c r="O70" s="227"/>
      <c r="P70" s="227" t="s">
        <v>74</v>
      </c>
    </row>
    <row r="71" spans="2:16" x14ac:dyDescent="0.2">
      <c r="B71" s="152" t="s">
        <v>50</v>
      </c>
      <c r="C71" s="230" t="s">
        <v>135</v>
      </c>
      <c r="D71" s="230" t="s">
        <v>135</v>
      </c>
      <c r="E71" s="315" t="str">
        <f t="shared" si="15"/>
        <v>-</v>
      </c>
      <c r="F71" s="230" t="s">
        <v>74</v>
      </c>
      <c r="G71" s="230"/>
      <c r="H71" s="230" t="s">
        <v>74</v>
      </c>
      <c r="I71" s="10">
        <f t="shared" si="17"/>
        <v>0</v>
      </c>
      <c r="J71" s="10">
        <f t="shared" si="18"/>
        <v>7</v>
      </c>
      <c r="K71" s="17" t="e">
        <f t="shared" si="13"/>
        <v>#N/A</v>
      </c>
      <c r="L71" s="17" t="e">
        <f t="shared" si="14"/>
        <v>#N/A</v>
      </c>
      <c r="M71" s="17" t="e">
        <f t="shared" ca="1" si="16"/>
        <v>#N/A</v>
      </c>
      <c r="N71" s="227"/>
      <c r="O71" s="227"/>
      <c r="P71" s="227" t="s">
        <v>74</v>
      </c>
    </row>
    <row r="72" spans="2:16" x14ac:dyDescent="0.2">
      <c r="B72" s="152" t="s">
        <v>50</v>
      </c>
      <c r="C72" s="230" t="s">
        <v>135</v>
      </c>
      <c r="D72" s="230" t="s">
        <v>135</v>
      </c>
      <c r="E72" s="315" t="str">
        <f t="shared" si="15"/>
        <v>-</v>
      </c>
      <c r="F72" s="230" t="s">
        <v>74</v>
      </c>
      <c r="G72" s="230"/>
      <c r="H72" s="230" t="s">
        <v>74</v>
      </c>
      <c r="I72" s="10">
        <f t="shared" si="17"/>
        <v>0</v>
      </c>
      <c r="J72" s="10">
        <f t="shared" si="18"/>
        <v>8</v>
      </c>
      <c r="K72" s="17" t="e">
        <f t="shared" si="13"/>
        <v>#N/A</v>
      </c>
      <c r="L72" s="17" t="e">
        <f t="shared" si="14"/>
        <v>#N/A</v>
      </c>
      <c r="M72" s="17" t="e">
        <f t="shared" ca="1" si="16"/>
        <v>#N/A</v>
      </c>
      <c r="N72" s="227"/>
      <c r="O72" s="227"/>
      <c r="P72" s="227" t="s">
        <v>74</v>
      </c>
    </row>
    <row r="73" spans="2:16" x14ac:dyDescent="0.2">
      <c r="B73" s="152" t="s">
        <v>50</v>
      </c>
      <c r="C73" s="230" t="s">
        <v>135</v>
      </c>
      <c r="D73" s="230" t="s">
        <v>135</v>
      </c>
      <c r="E73" s="315" t="str">
        <f t="shared" si="15"/>
        <v>-</v>
      </c>
      <c r="F73" s="230" t="s">
        <v>74</v>
      </c>
      <c r="G73" s="230"/>
      <c r="H73" s="230" t="s">
        <v>74</v>
      </c>
      <c r="I73" s="10">
        <f t="shared" si="17"/>
        <v>0</v>
      </c>
      <c r="J73" s="10">
        <f t="shared" si="18"/>
        <v>9</v>
      </c>
      <c r="K73" s="17" t="e">
        <f t="shared" si="13"/>
        <v>#N/A</v>
      </c>
      <c r="L73" s="17" t="e">
        <f t="shared" si="14"/>
        <v>#N/A</v>
      </c>
      <c r="M73" s="17" t="e">
        <f t="shared" ca="1" si="16"/>
        <v>#N/A</v>
      </c>
      <c r="N73" s="227"/>
      <c r="O73" s="227"/>
      <c r="P73" s="227" t="s">
        <v>74</v>
      </c>
    </row>
    <row r="74" spans="2:16" x14ac:dyDescent="0.2">
      <c r="B74" s="152" t="s">
        <v>50</v>
      </c>
      <c r="C74" s="230" t="s">
        <v>135</v>
      </c>
      <c r="D74" s="230" t="s">
        <v>135</v>
      </c>
      <c r="E74" s="315" t="str">
        <f t="shared" si="15"/>
        <v>-</v>
      </c>
      <c r="F74" s="230" t="s">
        <v>74</v>
      </c>
      <c r="G74" s="230"/>
      <c r="H74" s="230" t="s">
        <v>74</v>
      </c>
      <c r="I74" s="10">
        <f t="shared" si="17"/>
        <v>0</v>
      </c>
      <c r="J74" s="10">
        <f t="shared" si="18"/>
        <v>10</v>
      </c>
      <c r="K74" s="17" t="e">
        <f t="shared" si="13"/>
        <v>#N/A</v>
      </c>
      <c r="L74" s="17" t="e">
        <f t="shared" si="14"/>
        <v>#N/A</v>
      </c>
      <c r="M74" s="17" t="e">
        <f t="shared" ca="1" si="16"/>
        <v>#N/A</v>
      </c>
      <c r="N74" s="227"/>
      <c r="O74" s="227"/>
      <c r="P74" s="227" t="s">
        <v>74</v>
      </c>
    </row>
    <row r="75" spans="2:16" x14ac:dyDescent="0.2">
      <c r="B75" s="152" t="s">
        <v>50</v>
      </c>
      <c r="C75" s="230" t="s">
        <v>135</v>
      </c>
      <c r="D75" s="230" t="s">
        <v>135</v>
      </c>
      <c r="E75" s="315" t="str">
        <f t="shared" si="15"/>
        <v>-</v>
      </c>
      <c r="F75" s="230" t="s">
        <v>74</v>
      </c>
      <c r="G75" s="230"/>
      <c r="H75" s="230" t="s">
        <v>74</v>
      </c>
      <c r="I75" s="10">
        <f t="shared" si="17"/>
        <v>0</v>
      </c>
      <c r="J75" s="10">
        <f t="shared" si="18"/>
        <v>11</v>
      </c>
      <c r="K75" s="17" t="e">
        <f t="shared" si="13"/>
        <v>#N/A</v>
      </c>
      <c r="L75" s="17" t="e">
        <f t="shared" si="14"/>
        <v>#N/A</v>
      </c>
      <c r="M75" s="17" t="e">
        <f t="shared" ca="1" si="16"/>
        <v>#N/A</v>
      </c>
      <c r="N75" s="227"/>
      <c r="O75" s="227"/>
      <c r="P75" s="227" t="s">
        <v>74</v>
      </c>
    </row>
    <row r="76" spans="2:16" x14ac:dyDescent="0.2">
      <c r="B76" s="152" t="s">
        <v>50</v>
      </c>
      <c r="C76" s="230" t="s">
        <v>135</v>
      </c>
      <c r="D76" s="230" t="s">
        <v>135</v>
      </c>
      <c r="E76" s="315" t="str">
        <f t="shared" si="15"/>
        <v>-</v>
      </c>
      <c r="F76" s="230" t="s">
        <v>74</v>
      </c>
      <c r="G76" s="230"/>
      <c r="H76" s="230" t="s">
        <v>74</v>
      </c>
      <c r="I76" s="10">
        <f t="shared" si="17"/>
        <v>0</v>
      </c>
      <c r="J76" s="10">
        <f t="shared" si="18"/>
        <v>12</v>
      </c>
      <c r="K76" s="17" t="e">
        <f t="shared" si="13"/>
        <v>#N/A</v>
      </c>
      <c r="L76" s="17" t="e">
        <f t="shared" si="14"/>
        <v>#N/A</v>
      </c>
      <c r="M76" s="17" t="e">
        <f t="shared" ca="1" si="16"/>
        <v>#N/A</v>
      </c>
      <c r="N76" s="227"/>
      <c r="O76" s="227"/>
      <c r="P76" s="227" t="s">
        <v>74</v>
      </c>
    </row>
    <row r="77" spans="2:16" x14ac:dyDescent="0.2">
      <c r="B77" s="152" t="s">
        <v>50</v>
      </c>
      <c r="C77" s="230" t="s">
        <v>135</v>
      </c>
      <c r="D77" s="230" t="s">
        <v>135</v>
      </c>
      <c r="E77" s="315" t="str">
        <f t="shared" si="15"/>
        <v>-</v>
      </c>
      <c r="F77" s="230" t="s">
        <v>74</v>
      </c>
      <c r="G77" s="230"/>
      <c r="H77" s="230" t="s">
        <v>74</v>
      </c>
      <c r="I77" s="10">
        <f t="shared" si="17"/>
        <v>0</v>
      </c>
      <c r="J77" s="10">
        <f t="shared" si="18"/>
        <v>13</v>
      </c>
      <c r="K77" s="17" t="e">
        <f t="shared" si="13"/>
        <v>#N/A</v>
      </c>
      <c r="L77" s="17" t="e">
        <f t="shared" si="14"/>
        <v>#N/A</v>
      </c>
      <c r="M77" s="17" t="e">
        <f t="shared" ca="1" si="16"/>
        <v>#N/A</v>
      </c>
      <c r="N77" s="227"/>
      <c r="O77" s="227"/>
      <c r="P77" s="227" t="s">
        <v>74</v>
      </c>
    </row>
    <row r="78" spans="2:16" x14ac:dyDescent="0.2">
      <c r="B78" s="152" t="s">
        <v>50</v>
      </c>
      <c r="C78" s="230" t="s">
        <v>135</v>
      </c>
      <c r="D78" s="230" t="s">
        <v>135</v>
      </c>
      <c r="E78" s="315" t="str">
        <f t="shared" si="15"/>
        <v>-</v>
      </c>
      <c r="F78" s="230" t="s">
        <v>74</v>
      </c>
      <c r="G78" s="230"/>
      <c r="H78" s="230" t="s">
        <v>74</v>
      </c>
      <c r="I78" s="10">
        <f t="shared" si="17"/>
        <v>0</v>
      </c>
      <c r="J78" s="10">
        <f t="shared" si="18"/>
        <v>14</v>
      </c>
      <c r="K78" s="17" t="e">
        <f t="shared" si="13"/>
        <v>#N/A</v>
      </c>
      <c r="L78" s="17" t="e">
        <f t="shared" si="14"/>
        <v>#N/A</v>
      </c>
      <c r="M78" s="17" t="e">
        <f t="shared" ca="1" si="16"/>
        <v>#N/A</v>
      </c>
      <c r="N78" s="227"/>
      <c r="O78" s="227"/>
      <c r="P78" s="227" t="s">
        <v>74</v>
      </c>
    </row>
    <row r="79" spans="2:16" x14ac:dyDescent="0.2">
      <c r="B79" s="152" t="s">
        <v>50</v>
      </c>
      <c r="C79" s="230" t="s">
        <v>135</v>
      </c>
      <c r="D79" s="230" t="s">
        <v>135</v>
      </c>
      <c r="E79" s="315" t="str">
        <f t="shared" si="15"/>
        <v>-</v>
      </c>
      <c r="F79" s="230" t="s">
        <v>74</v>
      </c>
      <c r="G79" s="230"/>
      <c r="H79" s="230" t="s">
        <v>74</v>
      </c>
      <c r="I79" s="10">
        <f t="shared" si="17"/>
        <v>0</v>
      </c>
      <c r="J79" s="10">
        <f t="shared" si="18"/>
        <v>15</v>
      </c>
      <c r="K79" s="17" t="e">
        <f t="shared" si="13"/>
        <v>#N/A</v>
      </c>
      <c r="L79" s="17" t="e">
        <f t="shared" si="14"/>
        <v>#N/A</v>
      </c>
      <c r="M79" s="17" t="e">
        <f t="shared" ca="1" si="16"/>
        <v>#N/A</v>
      </c>
      <c r="N79" s="227"/>
      <c r="O79" s="227"/>
      <c r="P79" s="227" t="s">
        <v>74</v>
      </c>
    </row>
    <row r="80" spans="2:16" x14ac:dyDescent="0.2">
      <c r="B80" s="152" t="s">
        <v>50</v>
      </c>
      <c r="C80" s="230" t="s">
        <v>135</v>
      </c>
      <c r="D80" s="230" t="s">
        <v>135</v>
      </c>
      <c r="E80" s="315" t="str">
        <f t="shared" si="15"/>
        <v>-</v>
      </c>
      <c r="F80" s="230" t="s">
        <v>74</v>
      </c>
      <c r="G80" s="230"/>
      <c r="H80" s="230" t="s">
        <v>74</v>
      </c>
      <c r="I80" s="10">
        <f t="shared" si="17"/>
        <v>0</v>
      </c>
      <c r="J80" s="10">
        <f t="shared" si="18"/>
        <v>16</v>
      </c>
      <c r="K80" s="17" t="e">
        <f t="shared" si="13"/>
        <v>#N/A</v>
      </c>
      <c r="L80" s="17" t="e">
        <f t="shared" si="14"/>
        <v>#N/A</v>
      </c>
      <c r="M80" s="17" t="e">
        <f t="shared" ca="1" si="16"/>
        <v>#N/A</v>
      </c>
      <c r="N80" s="227"/>
      <c r="O80" s="227"/>
      <c r="P80" s="227" t="s">
        <v>74</v>
      </c>
    </row>
    <row r="81" spans="2:16" x14ac:dyDescent="0.2">
      <c r="B81" s="152" t="s">
        <v>50</v>
      </c>
      <c r="C81" s="230" t="s">
        <v>135</v>
      </c>
      <c r="D81" s="230" t="s">
        <v>135</v>
      </c>
      <c r="E81" s="315" t="str">
        <f t="shared" si="15"/>
        <v>-</v>
      </c>
      <c r="F81" s="230" t="s">
        <v>74</v>
      </c>
      <c r="G81" s="230"/>
      <c r="H81" s="230" t="s">
        <v>74</v>
      </c>
      <c r="I81" s="10">
        <f t="shared" si="17"/>
        <v>0</v>
      </c>
      <c r="J81" s="10">
        <f t="shared" si="18"/>
        <v>17</v>
      </c>
      <c r="K81" s="17" t="e">
        <f t="shared" ref="K81:K144" si="19">VLOOKUP(H81,nodeDevicePinConfigTable,3+J81+(IF(B81="IN",0,1)*VLOOKUP(H81,nodeDevicePinConfigTable,2,TRUE)),TRUE)</f>
        <v>#N/A</v>
      </c>
      <c r="L81" s="17" t="e">
        <f t="shared" ref="L81:L144" si="20">VLOOKUP(H81,nodeJMRIPinConfigTable,3+J81+(IF(B81="IN",0,1)*VLOOKUP(H81,nodeJMRIPinConfigTable,2,TRUE)),TRUE)</f>
        <v>#N/A</v>
      </c>
      <c r="M81" s="17" t="e">
        <f t="shared" ca="1" si="16"/>
        <v>#N/A</v>
      </c>
      <c r="N81" s="227"/>
      <c r="O81" s="227"/>
      <c r="P81" s="227" t="s">
        <v>74</v>
      </c>
    </row>
    <row r="82" spans="2:16" x14ac:dyDescent="0.2">
      <c r="B82" s="152" t="s">
        <v>50</v>
      </c>
      <c r="C82" s="230" t="s">
        <v>135</v>
      </c>
      <c r="D82" s="230" t="s">
        <v>135</v>
      </c>
      <c r="E82" s="315" t="str">
        <f t="shared" ref="E82:E145" si="21">IF(P82="-",P82,_xlfn.CONCAT(C82,":",P82))</f>
        <v>-</v>
      </c>
      <c r="F82" s="230" t="s">
        <v>74</v>
      </c>
      <c r="G82" s="230"/>
      <c r="H82" s="230" t="s">
        <v>74</v>
      </c>
      <c r="I82" s="10">
        <f t="shared" si="17"/>
        <v>0</v>
      </c>
      <c r="J82" s="10">
        <f t="shared" si="18"/>
        <v>18</v>
      </c>
      <c r="K82" s="17" t="e">
        <f t="shared" si="19"/>
        <v>#N/A</v>
      </c>
      <c r="L82" s="17" t="e">
        <f t="shared" si="20"/>
        <v>#N/A</v>
      </c>
      <c r="M82" s="17" t="e">
        <f t="shared" ref="M82:M96" ca="1" si="22">CONCATENATE(LEFT(L82,2),$D$5*1000+VALUE(RIGHT(L82,3)+I82))</f>
        <v>#N/A</v>
      </c>
      <c r="N82" s="227"/>
      <c r="O82" s="227"/>
      <c r="P82" s="227" t="s">
        <v>74</v>
      </c>
    </row>
    <row r="83" spans="2:16" x14ac:dyDescent="0.2">
      <c r="B83" s="152" t="s">
        <v>50</v>
      </c>
      <c r="C83" s="230" t="s">
        <v>135</v>
      </c>
      <c r="D83" s="230" t="s">
        <v>135</v>
      </c>
      <c r="E83" s="315" t="str">
        <f t="shared" si="21"/>
        <v>-</v>
      </c>
      <c r="F83" s="230" t="s">
        <v>74</v>
      </c>
      <c r="G83" s="230"/>
      <c r="H83" s="230" t="s">
        <v>74</v>
      </c>
      <c r="I83" s="10">
        <f t="shared" si="17"/>
        <v>0</v>
      </c>
      <c r="J83" s="10">
        <f t="shared" si="18"/>
        <v>19</v>
      </c>
      <c r="K83" s="17" t="e">
        <f t="shared" si="19"/>
        <v>#N/A</v>
      </c>
      <c r="L83" s="17" t="e">
        <f t="shared" si="20"/>
        <v>#N/A</v>
      </c>
      <c r="M83" s="17" t="e">
        <f t="shared" ca="1" si="22"/>
        <v>#N/A</v>
      </c>
      <c r="N83" s="227"/>
      <c r="O83" s="227"/>
      <c r="P83" s="227" t="s">
        <v>74</v>
      </c>
    </row>
    <row r="84" spans="2:16" x14ac:dyDescent="0.2">
      <c r="B84" s="152" t="s">
        <v>50</v>
      </c>
      <c r="C84" s="230" t="s">
        <v>135</v>
      </c>
      <c r="D84" s="230" t="s">
        <v>135</v>
      </c>
      <c r="E84" s="315" t="str">
        <f t="shared" si="21"/>
        <v>-</v>
      </c>
      <c r="F84" s="230" t="s">
        <v>74</v>
      </c>
      <c r="G84" s="230"/>
      <c r="H84" s="230" t="s">
        <v>74</v>
      </c>
      <c r="I84" s="10">
        <f t="shared" si="17"/>
        <v>0</v>
      </c>
      <c r="J84" s="10">
        <f t="shared" si="18"/>
        <v>20</v>
      </c>
      <c r="K84" s="17" t="e">
        <f t="shared" si="19"/>
        <v>#N/A</v>
      </c>
      <c r="L84" s="17" t="e">
        <f t="shared" si="20"/>
        <v>#N/A</v>
      </c>
      <c r="M84" s="17" t="e">
        <f t="shared" ca="1" si="22"/>
        <v>#N/A</v>
      </c>
      <c r="N84" s="227"/>
      <c r="O84" s="227"/>
      <c r="P84" s="227" t="s">
        <v>74</v>
      </c>
    </row>
    <row r="85" spans="2:16" x14ac:dyDescent="0.2">
      <c r="B85" s="152" t="s">
        <v>50</v>
      </c>
      <c r="C85" s="230" t="s">
        <v>135</v>
      </c>
      <c r="D85" s="230" t="s">
        <v>135</v>
      </c>
      <c r="E85" s="315" t="str">
        <f t="shared" si="21"/>
        <v>-</v>
      </c>
      <c r="F85" s="230" t="s">
        <v>74</v>
      </c>
      <c r="G85" s="230"/>
      <c r="H85" s="230" t="s">
        <v>74</v>
      </c>
      <c r="I85" s="10">
        <f t="shared" si="17"/>
        <v>0</v>
      </c>
      <c r="J85" s="10">
        <f t="shared" si="18"/>
        <v>21</v>
      </c>
      <c r="K85" s="17" t="e">
        <f t="shared" si="19"/>
        <v>#N/A</v>
      </c>
      <c r="L85" s="17" t="e">
        <f t="shared" si="20"/>
        <v>#N/A</v>
      </c>
      <c r="M85" s="17" t="e">
        <f t="shared" ca="1" si="22"/>
        <v>#N/A</v>
      </c>
      <c r="N85" s="227"/>
      <c r="O85" s="227"/>
      <c r="P85" s="227" t="s">
        <v>74</v>
      </c>
    </row>
    <row r="86" spans="2:16" x14ac:dyDescent="0.2">
      <c r="B86" s="152" t="s">
        <v>50</v>
      </c>
      <c r="C86" s="230" t="s">
        <v>135</v>
      </c>
      <c r="D86" s="230" t="s">
        <v>135</v>
      </c>
      <c r="E86" s="315" t="str">
        <f t="shared" si="21"/>
        <v>-</v>
      </c>
      <c r="F86" s="230" t="s">
        <v>74</v>
      </c>
      <c r="G86" s="230"/>
      <c r="H86" s="230" t="s">
        <v>74</v>
      </c>
      <c r="I86" s="10">
        <f t="shared" si="17"/>
        <v>0</v>
      </c>
      <c r="J86" s="10">
        <f t="shared" si="18"/>
        <v>22</v>
      </c>
      <c r="K86" s="17" t="e">
        <f t="shared" si="19"/>
        <v>#N/A</v>
      </c>
      <c r="L86" s="17" t="e">
        <f t="shared" si="20"/>
        <v>#N/A</v>
      </c>
      <c r="M86" s="17" t="e">
        <f t="shared" ca="1" si="22"/>
        <v>#N/A</v>
      </c>
      <c r="N86" s="227"/>
      <c r="O86" s="227"/>
      <c r="P86" s="227" t="s">
        <v>74</v>
      </c>
    </row>
    <row r="87" spans="2:16" x14ac:dyDescent="0.2">
      <c r="B87" s="152" t="s">
        <v>50</v>
      </c>
      <c r="C87" s="230" t="s">
        <v>135</v>
      </c>
      <c r="D87" s="230" t="s">
        <v>135</v>
      </c>
      <c r="E87" s="315" t="str">
        <f t="shared" si="21"/>
        <v>-</v>
      </c>
      <c r="F87" s="230" t="s">
        <v>74</v>
      </c>
      <c r="G87" s="230"/>
      <c r="H87" s="230" t="s">
        <v>74</v>
      </c>
      <c r="I87" s="10">
        <f t="shared" si="17"/>
        <v>0</v>
      </c>
      <c r="J87" s="10">
        <f t="shared" si="18"/>
        <v>23</v>
      </c>
      <c r="K87" s="17" t="e">
        <f t="shared" si="19"/>
        <v>#N/A</v>
      </c>
      <c r="L87" s="17" t="e">
        <f t="shared" si="20"/>
        <v>#N/A</v>
      </c>
      <c r="M87" s="17" t="e">
        <f t="shared" ca="1" si="22"/>
        <v>#N/A</v>
      </c>
      <c r="N87" s="227"/>
      <c r="O87" s="227"/>
      <c r="P87" s="227" t="s">
        <v>74</v>
      </c>
    </row>
    <row r="88" spans="2:16" x14ac:dyDescent="0.2">
      <c r="B88" s="152" t="s">
        <v>50</v>
      </c>
      <c r="C88" s="230" t="s">
        <v>135</v>
      </c>
      <c r="D88" s="230" t="s">
        <v>135</v>
      </c>
      <c r="E88" s="315" t="str">
        <f t="shared" si="21"/>
        <v>-</v>
      </c>
      <c r="F88" s="230" t="s">
        <v>74</v>
      </c>
      <c r="G88" s="230"/>
      <c r="H88" s="230" t="s">
        <v>74</v>
      </c>
      <c r="I88" s="10">
        <f t="shared" si="17"/>
        <v>0</v>
      </c>
      <c r="J88" s="10">
        <f t="shared" si="18"/>
        <v>24</v>
      </c>
      <c r="K88" s="17" t="e">
        <f t="shared" si="19"/>
        <v>#N/A</v>
      </c>
      <c r="L88" s="17" t="e">
        <f t="shared" si="20"/>
        <v>#N/A</v>
      </c>
      <c r="M88" s="17" t="e">
        <f t="shared" ca="1" si="22"/>
        <v>#N/A</v>
      </c>
      <c r="N88" s="227"/>
      <c r="O88" s="227"/>
      <c r="P88" s="227" t="s">
        <v>74</v>
      </c>
    </row>
    <row r="89" spans="2:16" x14ac:dyDescent="0.2">
      <c r="B89" s="152" t="s">
        <v>50</v>
      </c>
      <c r="C89" s="230" t="s">
        <v>135</v>
      </c>
      <c r="D89" s="230" t="s">
        <v>135</v>
      </c>
      <c r="E89" s="315" t="str">
        <f t="shared" si="21"/>
        <v>-</v>
      </c>
      <c r="F89" s="230" t="s">
        <v>74</v>
      </c>
      <c r="G89" s="230"/>
      <c r="H89" s="230" t="s">
        <v>74</v>
      </c>
      <c r="I89" s="10">
        <f t="shared" si="17"/>
        <v>0</v>
      </c>
      <c r="J89" s="10">
        <f t="shared" si="18"/>
        <v>25</v>
      </c>
      <c r="K89" s="17" t="e">
        <f t="shared" si="19"/>
        <v>#N/A</v>
      </c>
      <c r="L89" s="17" t="e">
        <f t="shared" si="20"/>
        <v>#N/A</v>
      </c>
      <c r="M89" s="17" t="e">
        <f t="shared" ca="1" si="22"/>
        <v>#N/A</v>
      </c>
      <c r="N89" s="227"/>
      <c r="O89" s="227"/>
      <c r="P89" s="227" t="s">
        <v>74</v>
      </c>
    </row>
    <row r="90" spans="2:16" x14ac:dyDescent="0.2">
      <c r="B90" s="152" t="s">
        <v>50</v>
      </c>
      <c r="C90" s="230" t="s">
        <v>135</v>
      </c>
      <c r="D90" s="230" t="s">
        <v>135</v>
      </c>
      <c r="E90" s="315" t="str">
        <f t="shared" si="21"/>
        <v>-</v>
      </c>
      <c r="F90" s="230" t="s">
        <v>74</v>
      </c>
      <c r="G90" s="230"/>
      <c r="H90" s="230" t="s">
        <v>74</v>
      </c>
      <c r="I90" s="10">
        <f t="shared" si="17"/>
        <v>0</v>
      </c>
      <c r="J90" s="10">
        <f t="shared" si="18"/>
        <v>26</v>
      </c>
      <c r="K90" s="17" t="e">
        <f t="shared" si="19"/>
        <v>#N/A</v>
      </c>
      <c r="L90" s="17" t="e">
        <f t="shared" si="20"/>
        <v>#N/A</v>
      </c>
      <c r="M90" s="17" t="e">
        <f t="shared" ca="1" si="22"/>
        <v>#N/A</v>
      </c>
      <c r="N90" s="227"/>
      <c r="O90" s="227"/>
      <c r="P90" s="227" t="s">
        <v>74</v>
      </c>
    </row>
    <row r="91" spans="2:16" x14ac:dyDescent="0.2">
      <c r="B91" s="152" t="s">
        <v>50</v>
      </c>
      <c r="C91" s="230" t="s">
        <v>135</v>
      </c>
      <c r="D91" s="230" t="s">
        <v>135</v>
      </c>
      <c r="E91" s="315" t="str">
        <f t="shared" si="21"/>
        <v>-</v>
      </c>
      <c r="F91" s="230" t="s">
        <v>74</v>
      </c>
      <c r="G91" s="230"/>
      <c r="H91" s="230" t="s">
        <v>74</v>
      </c>
      <c r="I91" s="10">
        <f t="shared" si="17"/>
        <v>0</v>
      </c>
      <c r="J91" s="10">
        <f t="shared" si="18"/>
        <v>27</v>
      </c>
      <c r="K91" s="17" t="e">
        <f t="shared" si="19"/>
        <v>#N/A</v>
      </c>
      <c r="L91" s="17" t="e">
        <f t="shared" si="20"/>
        <v>#N/A</v>
      </c>
      <c r="M91" s="17" t="e">
        <f t="shared" ca="1" si="22"/>
        <v>#N/A</v>
      </c>
      <c r="N91" s="227"/>
      <c r="O91" s="227"/>
      <c r="P91" s="227" t="s">
        <v>74</v>
      </c>
    </row>
    <row r="92" spans="2:16" x14ac:dyDescent="0.2">
      <c r="B92" s="152" t="s">
        <v>50</v>
      </c>
      <c r="C92" s="230" t="s">
        <v>135</v>
      </c>
      <c r="D92" s="230" t="s">
        <v>135</v>
      </c>
      <c r="E92" s="315" t="str">
        <f t="shared" si="21"/>
        <v>-</v>
      </c>
      <c r="F92" s="230" t="s">
        <v>74</v>
      </c>
      <c r="G92" s="230"/>
      <c r="H92" s="230" t="s">
        <v>74</v>
      </c>
      <c r="I92" s="10">
        <f t="shared" si="17"/>
        <v>0</v>
      </c>
      <c r="J92" s="10">
        <f t="shared" si="18"/>
        <v>28</v>
      </c>
      <c r="K92" s="17" t="e">
        <f t="shared" si="19"/>
        <v>#N/A</v>
      </c>
      <c r="L92" s="17" t="e">
        <f t="shared" si="20"/>
        <v>#N/A</v>
      </c>
      <c r="M92" s="17" t="e">
        <f t="shared" ca="1" si="22"/>
        <v>#N/A</v>
      </c>
      <c r="N92" s="227"/>
      <c r="O92" s="227"/>
      <c r="P92" s="227" t="s">
        <v>74</v>
      </c>
    </row>
    <row r="93" spans="2:16" x14ac:dyDescent="0.2">
      <c r="B93" s="152" t="s">
        <v>50</v>
      </c>
      <c r="C93" s="230" t="s">
        <v>135</v>
      </c>
      <c r="D93" s="230" t="s">
        <v>135</v>
      </c>
      <c r="E93" s="315" t="str">
        <f t="shared" si="21"/>
        <v>-</v>
      </c>
      <c r="F93" s="230" t="s">
        <v>74</v>
      </c>
      <c r="G93" s="230"/>
      <c r="H93" s="230" t="s">
        <v>74</v>
      </c>
      <c r="I93" s="10">
        <f t="shared" si="17"/>
        <v>0</v>
      </c>
      <c r="J93" s="10">
        <f t="shared" si="18"/>
        <v>29</v>
      </c>
      <c r="K93" s="17" t="e">
        <f t="shared" si="19"/>
        <v>#N/A</v>
      </c>
      <c r="L93" s="17" t="e">
        <f t="shared" si="20"/>
        <v>#N/A</v>
      </c>
      <c r="M93" s="17" t="e">
        <f t="shared" ca="1" si="22"/>
        <v>#N/A</v>
      </c>
      <c r="N93" s="227"/>
      <c r="O93" s="227"/>
      <c r="P93" s="227" t="s">
        <v>74</v>
      </c>
    </row>
    <row r="94" spans="2:16" x14ac:dyDescent="0.2">
      <c r="B94" s="152" t="s">
        <v>50</v>
      </c>
      <c r="C94" s="230" t="s">
        <v>135</v>
      </c>
      <c r="D94" s="230" t="s">
        <v>135</v>
      </c>
      <c r="E94" s="315" t="str">
        <f t="shared" si="21"/>
        <v>-</v>
      </c>
      <c r="F94" s="230" t="s">
        <v>74</v>
      </c>
      <c r="G94" s="230"/>
      <c r="H94" s="230" t="s">
        <v>74</v>
      </c>
      <c r="I94" s="10">
        <f t="shared" si="17"/>
        <v>0</v>
      </c>
      <c r="J94" s="10">
        <f t="shared" si="18"/>
        <v>30</v>
      </c>
      <c r="K94" s="17" t="e">
        <f t="shared" si="19"/>
        <v>#N/A</v>
      </c>
      <c r="L94" s="17" t="e">
        <f t="shared" si="20"/>
        <v>#N/A</v>
      </c>
      <c r="M94" s="17" t="e">
        <f t="shared" ca="1" si="22"/>
        <v>#N/A</v>
      </c>
      <c r="N94" s="227"/>
      <c r="O94" s="227"/>
      <c r="P94" s="227" t="s">
        <v>74</v>
      </c>
    </row>
    <row r="95" spans="2:16" x14ac:dyDescent="0.2">
      <c r="B95" s="152" t="s">
        <v>50</v>
      </c>
      <c r="C95" s="230" t="s">
        <v>135</v>
      </c>
      <c r="D95" s="230" t="s">
        <v>135</v>
      </c>
      <c r="E95" s="315" t="str">
        <f t="shared" si="21"/>
        <v>-</v>
      </c>
      <c r="F95" s="230" t="s">
        <v>74</v>
      </c>
      <c r="G95" s="230"/>
      <c r="H95" s="230" t="s">
        <v>74</v>
      </c>
      <c r="I95" s="10">
        <f t="shared" si="17"/>
        <v>0</v>
      </c>
      <c r="J95" s="10">
        <f t="shared" si="18"/>
        <v>31</v>
      </c>
      <c r="K95" s="17" t="e">
        <f t="shared" si="19"/>
        <v>#N/A</v>
      </c>
      <c r="L95" s="17" t="e">
        <f t="shared" si="20"/>
        <v>#N/A</v>
      </c>
      <c r="M95" s="17" t="e">
        <f t="shared" ca="1" si="22"/>
        <v>#N/A</v>
      </c>
      <c r="N95" s="227"/>
      <c r="O95" s="227"/>
      <c r="P95" s="227" t="s">
        <v>74</v>
      </c>
    </row>
    <row r="96" spans="2:16" ht="16" thickBot="1" x14ac:dyDescent="0.25">
      <c r="B96" s="136" t="s">
        <v>50</v>
      </c>
      <c r="C96" s="137" t="s">
        <v>135</v>
      </c>
      <c r="D96" s="137" t="s">
        <v>135</v>
      </c>
      <c r="E96" s="317" t="str">
        <f t="shared" si="21"/>
        <v>-</v>
      </c>
      <c r="F96" s="137" t="s">
        <v>74</v>
      </c>
      <c r="G96" s="137"/>
      <c r="H96" s="137" t="s">
        <v>74</v>
      </c>
      <c r="I96" s="12">
        <f t="shared" si="17"/>
        <v>0</v>
      </c>
      <c r="J96" s="12">
        <f t="shared" si="18"/>
        <v>32</v>
      </c>
      <c r="K96" s="18" t="e">
        <f t="shared" si="19"/>
        <v>#N/A</v>
      </c>
      <c r="L96" s="18" t="e">
        <f t="shared" si="20"/>
        <v>#N/A</v>
      </c>
      <c r="M96" s="18" t="e">
        <f t="shared" ca="1" si="22"/>
        <v>#N/A</v>
      </c>
      <c r="N96" s="228"/>
      <c r="O96" s="228"/>
      <c r="P96" s="228" t="s">
        <v>74</v>
      </c>
    </row>
    <row r="97" spans="2:16" x14ac:dyDescent="0.2">
      <c r="B97" s="238" t="s">
        <v>50</v>
      </c>
      <c r="C97" s="239" t="s">
        <v>135</v>
      </c>
      <c r="D97" s="239" t="s">
        <v>135</v>
      </c>
      <c r="E97" s="320" t="str">
        <f t="shared" si="21"/>
        <v>-</v>
      </c>
      <c r="F97" s="239" t="s">
        <v>74</v>
      </c>
      <c r="G97" s="325"/>
      <c r="H97" s="239" t="s">
        <v>74</v>
      </c>
      <c r="I97" s="237">
        <f t="shared" ref="I97:I128" si="23">IF(LEFT(H97,4)="BASE",0,IF(LEFT(H97,3)="IOX", VALUE(MID(H97,4,2))*VALUE(RIGHT(H97,1)),0))</f>
        <v>0</v>
      </c>
      <c r="J97" s="5">
        <v>1</v>
      </c>
      <c r="K97" s="15" t="e">
        <f t="shared" si="19"/>
        <v>#N/A</v>
      </c>
      <c r="L97" s="15" t="e">
        <f t="shared" si="20"/>
        <v>#N/A</v>
      </c>
      <c r="M97" s="15" t="e">
        <f t="shared" ref="M97:M113" ca="1" si="24">CONCATENATE(LEFT(L97,2),$D$5*1000+VALUE(RIGHT(L97,3)+I97))</f>
        <v>#N/A</v>
      </c>
      <c r="N97" s="226"/>
      <c r="O97" s="226"/>
      <c r="P97" s="226" t="s">
        <v>74</v>
      </c>
    </row>
    <row r="98" spans="2:16" x14ac:dyDescent="0.2">
      <c r="B98" s="152" t="s">
        <v>50</v>
      </c>
      <c r="C98" s="230" t="s">
        <v>135</v>
      </c>
      <c r="D98" s="230" t="s">
        <v>135</v>
      </c>
      <c r="E98" s="315" t="str">
        <f t="shared" si="21"/>
        <v>-</v>
      </c>
      <c r="F98" s="230" t="s">
        <v>74</v>
      </c>
      <c r="G98" s="230"/>
      <c r="H98" s="230" t="s">
        <v>74</v>
      </c>
      <c r="I98" s="10">
        <f t="shared" si="23"/>
        <v>0</v>
      </c>
      <c r="J98" s="6">
        <f t="shared" ref="J98:J128" si="25">IF(AND(H98=H97,B98=B97), J97+1,1)</f>
        <v>2</v>
      </c>
      <c r="K98" s="16" t="e">
        <f t="shared" si="19"/>
        <v>#N/A</v>
      </c>
      <c r="L98" s="16" t="e">
        <f t="shared" si="20"/>
        <v>#N/A</v>
      </c>
      <c r="M98" s="16" t="e">
        <f t="shared" ca="1" si="24"/>
        <v>#N/A</v>
      </c>
      <c r="N98" s="227"/>
      <c r="O98" s="227"/>
      <c r="P98" s="227" t="s">
        <v>74</v>
      </c>
    </row>
    <row r="99" spans="2:16" x14ac:dyDescent="0.2">
      <c r="B99" s="152" t="s">
        <v>50</v>
      </c>
      <c r="C99" s="230" t="s">
        <v>135</v>
      </c>
      <c r="D99" s="230" t="s">
        <v>135</v>
      </c>
      <c r="E99" s="315" t="str">
        <f t="shared" si="21"/>
        <v>-</v>
      </c>
      <c r="F99" s="230" t="s">
        <v>74</v>
      </c>
      <c r="G99" s="230"/>
      <c r="H99" s="230" t="s">
        <v>74</v>
      </c>
      <c r="I99" s="10">
        <f t="shared" si="23"/>
        <v>0</v>
      </c>
      <c r="J99" s="6">
        <f t="shared" si="25"/>
        <v>3</v>
      </c>
      <c r="K99" s="16" t="e">
        <f t="shared" si="19"/>
        <v>#N/A</v>
      </c>
      <c r="L99" s="16" t="e">
        <f t="shared" si="20"/>
        <v>#N/A</v>
      </c>
      <c r="M99" s="16" t="e">
        <f t="shared" ca="1" si="24"/>
        <v>#N/A</v>
      </c>
      <c r="N99" s="227"/>
      <c r="O99" s="227"/>
      <c r="P99" s="227" t="s">
        <v>74</v>
      </c>
    </row>
    <row r="100" spans="2:16" x14ac:dyDescent="0.2">
      <c r="B100" s="152" t="s">
        <v>50</v>
      </c>
      <c r="C100" s="230" t="s">
        <v>135</v>
      </c>
      <c r="D100" s="230" t="s">
        <v>135</v>
      </c>
      <c r="E100" s="315" t="str">
        <f t="shared" si="21"/>
        <v>-</v>
      </c>
      <c r="F100" s="230" t="s">
        <v>74</v>
      </c>
      <c r="G100" s="230"/>
      <c r="H100" s="230" t="s">
        <v>74</v>
      </c>
      <c r="I100" s="10">
        <f t="shared" si="23"/>
        <v>0</v>
      </c>
      <c r="J100" s="6">
        <f t="shared" si="25"/>
        <v>4</v>
      </c>
      <c r="K100" s="16" t="e">
        <f t="shared" si="19"/>
        <v>#N/A</v>
      </c>
      <c r="L100" s="16" t="e">
        <f t="shared" si="20"/>
        <v>#N/A</v>
      </c>
      <c r="M100" s="16" t="e">
        <f t="shared" ca="1" si="24"/>
        <v>#N/A</v>
      </c>
      <c r="N100" s="227"/>
      <c r="O100" s="227"/>
      <c r="P100" s="227" t="s">
        <v>74</v>
      </c>
    </row>
    <row r="101" spans="2:16" x14ac:dyDescent="0.2">
      <c r="B101" s="152" t="s">
        <v>50</v>
      </c>
      <c r="C101" s="230" t="s">
        <v>135</v>
      </c>
      <c r="D101" s="230" t="s">
        <v>135</v>
      </c>
      <c r="E101" s="315" t="str">
        <f t="shared" si="21"/>
        <v>-</v>
      </c>
      <c r="F101" s="230" t="s">
        <v>74</v>
      </c>
      <c r="G101" s="230"/>
      <c r="H101" s="230" t="s">
        <v>74</v>
      </c>
      <c r="I101" s="10">
        <f t="shared" si="23"/>
        <v>0</v>
      </c>
      <c r="J101" s="10">
        <f t="shared" si="25"/>
        <v>5</v>
      </c>
      <c r="K101" s="17" t="e">
        <f t="shared" si="19"/>
        <v>#N/A</v>
      </c>
      <c r="L101" s="17" t="e">
        <f t="shared" si="20"/>
        <v>#N/A</v>
      </c>
      <c r="M101" s="17" t="e">
        <f t="shared" ca="1" si="24"/>
        <v>#N/A</v>
      </c>
      <c r="N101" s="227"/>
      <c r="O101" s="227"/>
      <c r="P101" s="227" t="s">
        <v>74</v>
      </c>
    </row>
    <row r="102" spans="2:16" x14ac:dyDescent="0.2">
      <c r="B102" s="152" t="s">
        <v>50</v>
      </c>
      <c r="C102" s="230" t="s">
        <v>135</v>
      </c>
      <c r="D102" s="230" t="s">
        <v>135</v>
      </c>
      <c r="E102" s="315" t="str">
        <f t="shared" si="21"/>
        <v>-</v>
      </c>
      <c r="F102" s="230" t="s">
        <v>74</v>
      </c>
      <c r="G102" s="230"/>
      <c r="H102" s="230" t="s">
        <v>74</v>
      </c>
      <c r="I102" s="10">
        <f t="shared" si="23"/>
        <v>0</v>
      </c>
      <c r="J102" s="10">
        <f t="shared" si="25"/>
        <v>6</v>
      </c>
      <c r="K102" s="17" t="e">
        <f t="shared" si="19"/>
        <v>#N/A</v>
      </c>
      <c r="L102" s="17" t="e">
        <f t="shared" si="20"/>
        <v>#N/A</v>
      </c>
      <c r="M102" s="17" t="e">
        <f t="shared" ca="1" si="24"/>
        <v>#N/A</v>
      </c>
      <c r="N102" s="227"/>
      <c r="O102" s="227"/>
      <c r="P102" s="227" t="s">
        <v>74</v>
      </c>
    </row>
    <row r="103" spans="2:16" x14ac:dyDescent="0.2">
      <c r="B103" s="152" t="s">
        <v>50</v>
      </c>
      <c r="C103" s="230" t="s">
        <v>135</v>
      </c>
      <c r="D103" s="230" t="s">
        <v>135</v>
      </c>
      <c r="E103" s="315" t="str">
        <f t="shared" si="21"/>
        <v>-</v>
      </c>
      <c r="F103" s="230" t="s">
        <v>74</v>
      </c>
      <c r="G103" s="230"/>
      <c r="H103" s="230" t="s">
        <v>74</v>
      </c>
      <c r="I103" s="10">
        <f t="shared" si="23"/>
        <v>0</v>
      </c>
      <c r="J103" s="10">
        <f t="shared" si="25"/>
        <v>7</v>
      </c>
      <c r="K103" s="17" t="e">
        <f t="shared" si="19"/>
        <v>#N/A</v>
      </c>
      <c r="L103" s="17" t="e">
        <f t="shared" si="20"/>
        <v>#N/A</v>
      </c>
      <c r="M103" s="17" t="e">
        <f t="shared" ca="1" si="24"/>
        <v>#N/A</v>
      </c>
      <c r="N103" s="227"/>
      <c r="O103" s="227"/>
      <c r="P103" s="227" t="s">
        <v>74</v>
      </c>
    </row>
    <row r="104" spans="2:16" x14ac:dyDescent="0.2">
      <c r="B104" s="152" t="s">
        <v>50</v>
      </c>
      <c r="C104" s="230" t="s">
        <v>135</v>
      </c>
      <c r="D104" s="230" t="s">
        <v>135</v>
      </c>
      <c r="E104" s="315" t="str">
        <f t="shared" si="21"/>
        <v>-</v>
      </c>
      <c r="F104" s="230" t="s">
        <v>74</v>
      </c>
      <c r="G104" s="230"/>
      <c r="H104" s="230" t="s">
        <v>74</v>
      </c>
      <c r="I104" s="10">
        <f t="shared" si="23"/>
        <v>0</v>
      </c>
      <c r="J104" s="10">
        <f t="shared" si="25"/>
        <v>8</v>
      </c>
      <c r="K104" s="17" t="e">
        <f t="shared" si="19"/>
        <v>#N/A</v>
      </c>
      <c r="L104" s="17" t="e">
        <f t="shared" si="20"/>
        <v>#N/A</v>
      </c>
      <c r="M104" s="17" t="e">
        <f t="shared" ca="1" si="24"/>
        <v>#N/A</v>
      </c>
      <c r="N104" s="227"/>
      <c r="O104" s="227"/>
      <c r="P104" s="227" t="s">
        <v>74</v>
      </c>
    </row>
    <row r="105" spans="2:16" x14ac:dyDescent="0.2">
      <c r="B105" s="152" t="s">
        <v>50</v>
      </c>
      <c r="C105" s="230" t="s">
        <v>135</v>
      </c>
      <c r="D105" s="230" t="s">
        <v>135</v>
      </c>
      <c r="E105" s="315" t="str">
        <f t="shared" si="21"/>
        <v>-</v>
      </c>
      <c r="F105" s="230" t="s">
        <v>74</v>
      </c>
      <c r="G105" s="230"/>
      <c r="H105" s="230" t="s">
        <v>74</v>
      </c>
      <c r="I105" s="10">
        <f t="shared" si="23"/>
        <v>0</v>
      </c>
      <c r="J105" s="10">
        <f t="shared" si="25"/>
        <v>9</v>
      </c>
      <c r="K105" s="17" t="e">
        <f t="shared" si="19"/>
        <v>#N/A</v>
      </c>
      <c r="L105" s="17" t="e">
        <f t="shared" si="20"/>
        <v>#N/A</v>
      </c>
      <c r="M105" s="17" t="e">
        <f t="shared" ca="1" si="24"/>
        <v>#N/A</v>
      </c>
      <c r="N105" s="227"/>
      <c r="O105" s="227"/>
      <c r="P105" s="227" t="s">
        <v>74</v>
      </c>
    </row>
    <row r="106" spans="2:16" x14ac:dyDescent="0.2">
      <c r="B106" s="152" t="s">
        <v>50</v>
      </c>
      <c r="C106" s="230" t="s">
        <v>135</v>
      </c>
      <c r="D106" s="230" t="s">
        <v>135</v>
      </c>
      <c r="E106" s="315" t="str">
        <f t="shared" si="21"/>
        <v>-</v>
      </c>
      <c r="F106" s="230" t="s">
        <v>74</v>
      </c>
      <c r="G106" s="230"/>
      <c r="H106" s="230" t="s">
        <v>74</v>
      </c>
      <c r="I106" s="10">
        <f t="shared" si="23"/>
        <v>0</v>
      </c>
      <c r="J106" s="10">
        <f t="shared" si="25"/>
        <v>10</v>
      </c>
      <c r="K106" s="17" t="e">
        <f t="shared" si="19"/>
        <v>#N/A</v>
      </c>
      <c r="L106" s="17" t="e">
        <f t="shared" si="20"/>
        <v>#N/A</v>
      </c>
      <c r="M106" s="17" t="e">
        <f t="shared" ca="1" si="24"/>
        <v>#N/A</v>
      </c>
      <c r="N106" s="227"/>
      <c r="O106" s="227"/>
      <c r="P106" s="227" t="s">
        <v>74</v>
      </c>
    </row>
    <row r="107" spans="2:16" x14ac:dyDescent="0.2">
      <c r="B107" s="152" t="s">
        <v>50</v>
      </c>
      <c r="C107" s="230" t="s">
        <v>135</v>
      </c>
      <c r="D107" s="230" t="s">
        <v>135</v>
      </c>
      <c r="E107" s="315" t="str">
        <f t="shared" si="21"/>
        <v>-</v>
      </c>
      <c r="F107" s="230" t="s">
        <v>74</v>
      </c>
      <c r="G107" s="230"/>
      <c r="H107" s="230" t="s">
        <v>74</v>
      </c>
      <c r="I107" s="10">
        <f t="shared" si="23"/>
        <v>0</v>
      </c>
      <c r="J107" s="10">
        <f t="shared" si="25"/>
        <v>11</v>
      </c>
      <c r="K107" s="17" t="e">
        <f t="shared" si="19"/>
        <v>#N/A</v>
      </c>
      <c r="L107" s="17" t="e">
        <f t="shared" si="20"/>
        <v>#N/A</v>
      </c>
      <c r="M107" s="17" t="e">
        <f t="shared" ca="1" si="24"/>
        <v>#N/A</v>
      </c>
      <c r="N107" s="227"/>
      <c r="O107" s="227"/>
      <c r="P107" s="227" t="s">
        <v>74</v>
      </c>
    </row>
    <row r="108" spans="2:16" x14ac:dyDescent="0.2">
      <c r="B108" s="152" t="s">
        <v>50</v>
      </c>
      <c r="C108" s="230" t="s">
        <v>135</v>
      </c>
      <c r="D108" s="230" t="s">
        <v>135</v>
      </c>
      <c r="E108" s="315" t="str">
        <f t="shared" si="21"/>
        <v>-</v>
      </c>
      <c r="F108" s="230" t="s">
        <v>74</v>
      </c>
      <c r="G108" s="230"/>
      <c r="H108" s="230" t="s">
        <v>74</v>
      </c>
      <c r="I108" s="10">
        <f t="shared" si="23"/>
        <v>0</v>
      </c>
      <c r="J108" s="10">
        <f t="shared" si="25"/>
        <v>12</v>
      </c>
      <c r="K108" s="17" t="e">
        <f t="shared" si="19"/>
        <v>#N/A</v>
      </c>
      <c r="L108" s="17" t="e">
        <f t="shared" si="20"/>
        <v>#N/A</v>
      </c>
      <c r="M108" s="17" t="e">
        <f t="shared" ca="1" si="24"/>
        <v>#N/A</v>
      </c>
      <c r="N108" s="227"/>
      <c r="O108" s="227"/>
      <c r="P108" s="227" t="s">
        <v>74</v>
      </c>
    </row>
    <row r="109" spans="2:16" x14ac:dyDescent="0.2">
      <c r="B109" s="152" t="s">
        <v>50</v>
      </c>
      <c r="C109" s="230" t="s">
        <v>135</v>
      </c>
      <c r="D109" s="230" t="s">
        <v>135</v>
      </c>
      <c r="E109" s="315" t="str">
        <f t="shared" si="21"/>
        <v>-</v>
      </c>
      <c r="F109" s="230" t="s">
        <v>74</v>
      </c>
      <c r="G109" s="230"/>
      <c r="H109" s="230" t="s">
        <v>74</v>
      </c>
      <c r="I109" s="10">
        <f t="shared" si="23"/>
        <v>0</v>
      </c>
      <c r="J109" s="10">
        <f t="shared" si="25"/>
        <v>13</v>
      </c>
      <c r="K109" s="17" t="e">
        <f t="shared" si="19"/>
        <v>#N/A</v>
      </c>
      <c r="L109" s="17" t="e">
        <f t="shared" si="20"/>
        <v>#N/A</v>
      </c>
      <c r="M109" s="17" t="e">
        <f t="shared" ca="1" si="24"/>
        <v>#N/A</v>
      </c>
      <c r="N109" s="227"/>
      <c r="O109" s="227"/>
      <c r="P109" s="227" t="s">
        <v>74</v>
      </c>
    </row>
    <row r="110" spans="2:16" x14ac:dyDescent="0.2">
      <c r="B110" s="152" t="s">
        <v>50</v>
      </c>
      <c r="C110" s="230" t="s">
        <v>135</v>
      </c>
      <c r="D110" s="230" t="s">
        <v>135</v>
      </c>
      <c r="E110" s="315" t="str">
        <f t="shared" si="21"/>
        <v>-</v>
      </c>
      <c r="F110" s="230" t="s">
        <v>74</v>
      </c>
      <c r="G110" s="230"/>
      <c r="H110" s="230" t="s">
        <v>74</v>
      </c>
      <c r="I110" s="10">
        <f t="shared" si="23"/>
        <v>0</v>
      </c>
      <c r="J110" s="10">
        <f t="shared" si="25"/>
        <v>14</v>
      </c>
      <c r="K110" s="17" t="e">
        <f t="shared" si="19"/>
        <v>#N/A</v>
      </c>
      <c r="L110" s="17" t="e">
        <f t="shared" si="20"/>
        <v>#N/A</v>
      </c>
      <c r="M110" s="17" t="e">
        <f t="shared" ca="1" si="24"/>
        <v>#N/A</v>
      </c>
      <c r="N110" s="227"/>
      <c r="O110" s="227"/>
      <c r="P110" s="227" t="s">
        <v>74</v>
      </c>
    </row>
    <row r="111" spans="2:16" x14ac:dyDescent="0.2">
      <c r="B111" s="152" t="s">
        <v>50</v>
      </c>
      <c r="C111" s="230" t="s">
        <v>135</v>
      </c>
      <c r="D111" s="230" t="s">
        <v>135</v>
      </c>
      <c r="E111" s="315" t="str">
        <f t="shared" si="21"/>
        <v>-</v>
      </c>
      <c r="F111" s="230" t="s">
        <v>74</v>
      </c>
      <c r="G111" s="230"/>
      <c r="H111" s="230" t="s">
        <v>74</v>
      </c>
      <c r="I111" s="10">
        <f t="shared" si="23"/>
        <v>0</v>
      </c>
      <c r="J111" s="10">
        <f t="shared" si="25"/>
        <v>15</v>
      </c>
      <c r="K111" s="17" t="e">
        <f t="shared" si="19"/>
        <v>#N/A</v>
      </c>
      <c r="L111" s="17" t="e">
        <f t="shared" si="20"/>
        <v>#N/A</v>
      </c>
      <c r="M111" s="17" t="e">
        <f t="shared" ca="1" si="24"/>
        <v>#N/A</v>
      </c>
      <c r="N111" s="227"/>
      <c r="O111" s="227"/>
      <c r="P111" s="227" t="s">
        <v>74</v>
      </c>
    </row>
    <row r="112" spans="2:16" x14ac:dyDescent="0.2">
      <c r="B112" s="152" t="s">
        <v>50</v>
      </c>
      <c r="C112" s="230" t="s">
        <v>135</v>
      </c>
      <c r="D112" s="230" t="s">
        <v>135</v>
      </c>
      <c r="E112" s="315" t="str">
        <f t="shared" si="21"/>
        <v>-</v>
      </c>
      <c r="F112" s="230" t="s">
        <v>74</v>
      </c>
      <c r="G112" s="230"/>
      <c r="H112" s="230" t="s">
        <v>74</v>
      </c>
      <c r="I112" s="10">
        <f t="shared" si="23"/>
        <v>0</v>
      </c>
      <c r="J112" s="10">
        <f t="shared" si="25"/>
        <v>16</v>
      </c>
      <c r="K112" s="17" t="e">
        <f t="shared" si="19"/>
        <v>#N/A</v>
      </c>
      <c r="L112" s="17" t="e">
        <f t="shared" si="20"/>
        <v>#N/A</v>
      </c>
      <c r="M112" s="17" t="e">
        <f t="shared" ca="1" si="24"/>
        <v>#N/A</v>
      </c>
      <c r="N112" s="227"/>
      <c r="O112" s="227"/>
      <c r="P112" s="227" t="s">
        <v>74</v>
      </c>
    </row>
    <row r="113" spans="2:16" x14ac:dyDescent="0.2">
      <c r="B113" s="152" t="s">
        <v>50</v>
      </c>
      <c r="C113" s="230" t="s">
        <v>135</v>
      </c>
      <c r="D113" s="230" t="s">
        <v>135</v>
      </c>
      <c r="E113" s="315" t="str">
        <f t="shared" si="21"/>
        <v>-</v>
      </c>
      <c r="F113" s="230" t="s">
        <v>74</v>
      </c>
      <c r="G113" s="230"/>
      <c r="H113" s="230" t="s">
        <v>74</v>
      </c>
      <c r="I113" s="10">
        <f t="shared" si="23"/>
        <v>0</v>
      </c>
      <c r="J113" s="10">
        <f t="shared" si="25"/>
        <v>17</v>
      </c>
      <c r="K113" s="17" t="e">
        <f t="shared" si="19"/>
        <v>#N/A</v>
      </c>
      <c r="L113" s="17" t="e">
        <f t="shared" si="20"/>
        <v>#N/A</v>
      </c>
      <c r="M113" s="17" t="e">
        <f t="shared" ca="1" si="24"/>
        <v>#N/A</v>
      </c>
      <c r="N113" s="227"/>
      <c r="O113" s="227"/>
      <c r="P113" s="227" t="s">
        <v>74</v>
      </c>
    </row>
    <row r="114" spans="2:16" x14ac:dyDescent="0.2">
      <c r="B114" s="152" t="s">
        <v>50</v>
      </c>
      <c r="C114" s="230" t="s">
        <v>135</v>
      </c>
      <c r="D114" s="230" t="s">
        <v>135</v>
      </c>
      <c r="E114" s="315" t="str">
        <f t="shared" si="21"/>
        <v>-</v>
      </c>
      <c r="F114" s="230" t="s">
        <v>74</v>
      </c>
      <c r="G114" s="230"/>
      <c r="H114" s="230" t="s">
        <v>74</v>
      </c>
      <c r="I114" s="10">
        <f t="shared" si="23"/>
        <v>0</v>
      </c>
      <c r="J114" s="10">
        <f t="shared" si="25"/>
        <v>18</v>
      </c>
      <c r="K114" s="17" t="e">
        <f t="shared" si="19"/>
        <v>#N/A</v>
      </c>
      <c r="L114" s="17" t="e">
        <f t="shared" si="20"/>
        <v>#N/A</v>
      </c>
      <c r="M114" s="17" t="e">
        <f t="shared" ref="M114:M128" ca="1" si="26">CONCATENATE(LEFT(L114,2),$D$5*1000+VALUE(RIGHT(L114,3)+I114))</f>
        <v>#N/A</v>
      </c>
      <c r="N114" s="227"/>
      <c r="O114" s="227"/>
      <c r="P114" s="227" t="s">
        <v>74</v>
      </c>
    </row>
    <row r="115" spans="2:16" x14ac:dyDescent="0.2">
      <c r="B115" s="152" t="s">
        <v>50</v>
      </c>
      <c r="C115" s="230" t="s">
        <v>135</v>
      </c>
      <c r="D115" s="230" t="s">
        <v>135</v>
      </c>
      <c r="E115" s="315" t="str">
        <f t="shared" si="21"/>
        <v>-</v>
      </c>
      <c r="F115" s="230" t="s">
        <v>74</v>
      </c>
      <c r="G115" s="230"/>
      <c r="H115" s="230" t="s">
        <v>74</v>
      </c>
      <c r="I115" s="10">
        <f t="shared" si="23"/>
        <v>0</v>
      </c>
      <c r="J115" s="10">
        <f t="shared" si="25"/>
        <v>19</v>
      </c>
      <c r="K115" s="17" t="e">
        <f t="shared" si="19"/>
        <v>#N/A</v>
      </c>
      <c r="L115" s="17" t="e">
        <f t="shared" si="20"/>
        <v>#N/A</v>
      </c>
      <c r="M115" s="17" t="e">
        <f t="shared" ca="1" si="26"/>
        <v>#N/A</v>
      </c>
      <c r="N115" s="227"/>
      <c r="O115" s="227"/>
      <c r="P115" s="227" t="s">
        <v>74</v>
      </c>
    </row>
    <row r="116" spans="2:16" x14ac:dyDescent="0.2">
      <c r="B116" s="152" t="s">
        <v>50</v>
      </c>
      <c r="C116" s="230" t="s">
        <v>135</v>
      </c>
      <c r="D116" s="230" t="s">
        <v>135</v>
      </c>
      <c r="E116" s="315" t="str">
        <f t="shared" si="21"/>
        <v>-</v>
      </c>
      <c r="F116" s="230" t="s">
        <v>74</v>
      </c>
      <c r="G116" s="230"/>
      <c r="H116" s="230" t="s">
        <v>74</v>
      </c>
      <c r="I116" s="10">
        <f t="shared" si="23"/>
        <v>0</v>
      </c>
      <c r="J116" s="10">
        <f t="shared" si="25"/>
        <v>20</v>
      </c>
      <c r="K116" s="17" t="e">
        <f t="shared" si="19"/>
        <v>#N/A</v>
      </c>
      <c r="L116" s="17" t="e">
        <f t="shared" si="20"/>
        <v>#N/A</v>
      </c>
      <c r="M116" s="17" t="e">
        <f t="shared" ca="1" si="26"/>
        <v>#N/A</v>
      </c>
      <c r="N116" s="227"/>
      <c r="O116" s="227"/>
      <c r="P116" s="227" t="s">
        <v>74</v>
      </c>
    </row>
    <row r="117" spans="2:16" x14ac:dyDescent="0.2">
      <c r="B117" s="152" t="s">
        <v>50</v>
      </c>
      <c r="C117" s="230" t="s">
        <v>135</v>
      </c>
      <c r="D117" s="230" t="s">
        <v>135</v>
      </c>
      <c r="E117" s="315" t="str">
        <f t="shared" si="21"/>
        <v>-</v>
      </c>
      <c r="F117" s="230" t="s">
        <v>74</v>
      </c>
      <c r="G117" s="230"/>
      <c r="H117" s="230" t="s">
        <v>74</v>
      </c>
      <c r="I117" s="10">
        <f t="shared" si="23"/>
        <v>0</v>
      </c>
      <c r="J117" s="10">
        <f t="shared" si="25"/>
        <v>21</v>
      </c>
      <c r="K117" s="17" t="e">
        <f t="shared" si="19"/>
        <v>#N/A</v>
      </c>
      <c r="L117" s="17" t="e">
        <f t="shared" si="20"/>
        <v>#N/A</v>
      </c>
      <c r="M117" s="17" t="e">
        <f t="shared" ca="1" si="26"/>
        <v>#N/A</v>
      </c>
      <c r="N117" s="227"/>
      <c r="O117" s="227"/>
      <c r="P117" s="227" t="s">
        <v>74</v>
      </c>
    </row>
    <row r="118" spans="2:16" x14ac:dyDescent="0.2">
      <c r="B118" s="152" t="s">
        <v>50</v>
      </c>
      <c r="C118" s="230" t="s">
        <v>135</v>
      </c>
      <c r="D118" s="230" t="s">
        <v>135</v>
      </c>
      <c r="E118" s="315" t="str">
        <f t="shared" si="21"/>
        <v>-</v>
      </c>
      <c r="F118" s="230" t="s">
        <v>74</v>
      </c>
      <c r="G118" s="230"/>
      <c r="H118" s="230" t="s">
        <v>74</v>
      </c>
      <c r="I118" s="10">
        <f t="shared" si="23"/>
        <v>0</v>
      </c>
      <c r="J118" s="10">
        <f t="shared" si="25"/>
        <v>22</v>
      </c>
      <c r="K118" s="17" t="e">
        <f t="shared" si="19"/>
        <v>#N/A</v>
      </c>
      <c r="L118" s="17" t="e">
        <f t="shared" si="20"/>
        <v>#N/A</v>
      </c>
      <c r="M118" s="17" t="e">
        <f t="shared" ca="1" si="26"/>
        <v>#N/A</v>
      </c>
      <c r="N118" s="227"/>
      <c r="O118" s="227"/>
      <c r="P118" s="227" t="s">
        <v>74</v>
      </c>
    </row>
    <row r="119" spans="2:16" x14ac:dyDescent="0.2">
      <c r="B119" s="152" t="s">
        <v>50</v>
      </c>
      <c r="C119" s="230" t="s">
        <v>135</v>
      </c>
      <c r="D119" s="230" t="s">
        <v>135</v>
      </c>
      <c r="E119" s="315" t="str">
        <f t="shared" si="21"/>
        <v>-</v>
      </c>
      <c r="F119" s="230" t="s">
        <v>74</v>
      </c>
      <c r="G119" s="230"/>
      <c r="H119" s="230" t="s">
        <v>74</v>
      </c>
      <c r="I119" s="10">
        <f t="shared" si="23"/>
        <v>0</v>
      </c>
      <c r="J119" s="10">
        <f t="shared" si="25"/>
        <v>23</v>
      </c>
      <c r="K119" s="17" t="e">
        <f t="shared" si="19"/>
        <v>#N/A</v>
      </c>
      <c r="L119" s="17" t="e">
        <f t="shared" si="20"/>
        <v>#N/A</v>
      </c>
      <c r="M119" s="17" t="e">
        <f t="shared" ca="1" si="26"/>
        <v>#N/A</v>
      </c>
      <c r="N119" s="227"/>
      <c r="O119" s="227"/>
      <c r="P119" s="227" t="s">
        <v>74</v>
      </c>
    </row>
    <row r="120" spans="2:16" x14ac:dyDescent="0.2">
      <c r="B120" s="152" t="s">
        <v>50</v>
      </c>
      <c r="C120" s="230" t="s">
        <v>135</v>
      </c>
      <c r="D120" s="230" t="s">
        <v>135</v>
      </c>
      <c r="E120" s="315" t="str">
        <f t="shared" si="21"/>
        <v>-</v>
      </c>
      <c r="F120" s="230" t="s">
        <v>74</v>
      </c>
      <c r="G120" s="230"/>
      <c r="H120" s="230" t="s">
        <v>74</v>
      </c>
      <c r="I120" s="10">
        <f t="shared" si="23"/>
        <v>0</v>
      </c>
      <c r="J120" s="10">
        <f t="shared" si="25"/>
        <v>24</v>
      </c>
      <c r="K120" s="17" t="e">
        <f t="shared" si="19"/>
        <v>#N/A</v>
      </c>
      <c r="L120" s="17" t="e">
        <f t="shared" si="20"/>
        <v>#N/A</v>
      </c>
      <c r="M120" s="17" t="e">
        <f t="shared" ca="1" si="26"/>
        <v>#N/A</v>
      </c>
      <c r="N120" s="227"/>
      <c r="O120" s="227"/>
      <c r="P120" s="227" t="s">
        <v>74</v>
      </c>
    </row>
    <row r="121" spans="2:16" x14ac:dyDescent="0.2">
      <c r="B121" s="152" t="s">
        <v>50</v>
      </c>
      <c r="C121" s="230" t="s">
        <v>135</v>
      </c>
      <c r="D121" s="230" t="s">
        <v>135</v>
      </c>
      <c r="E121" s="315" t="str">
        <f t="shared" si="21"/>
        <v>-</v>
      </c>
      <c r="F121" s="230" t="s">
        <v>74</v>
      </c>
      <c r="G121" s="230"/>
      <c r="H121" s="230" t="s">
        <v>74</v>
      </c>
      <c r="I121" s="10">
        <f t="shared" si="23"/>
        <v>0</v>
      </c>
      <c r="J121" s="10">
        <f t="shared" si="25"/>
        <v>25</v>
      </c>
      <c r="K121" s="17" t="e">
        <f t="shared" si="19"/>
        <v>#N/A</v>
      </c>
      <c r="L121" s="17" t="e">
        <f t="shared" si="20"/>
        <v>#N/A</v>
      </c>
      <c r="M121" s="17" t="e">
        <f t="shared" ca="1" si="26"/>
        <v>#N/A</v>
      </c>
      <c r="N121" s="227"/>
      <c r="O121" s="227"/>
      <c r="P121" s="227" t="s">
        <v>74</v>
      </c>
    </row>
    <row r="122" spans="2:16" x14ac:dyDescent="0.2">
      <c r="B122" s="152" t="s">
        <v>50</v>
      </c>
      <c r="C122" s="230" t="s">
        <v>135</v>
      </c>
      <c r="D122" s="230" t="s">
        <v>135</v>
      </c>
      <c r="E122" s="315" t="str">
        <f t="shared" si="21"/>
        <v>-</v>
      </c>
      <c r="F122" s="230" t="s">
        <v>74</v>
      </c>
      <c r="G122" s="230"/>
      <c r="H122" s="230" t="s">
        <v>74</v>
      </c>
      <c r="I122" s="10">
        <f t="shared" si="23"/>
        <v>0</v>
      </c>
      <c r="J122" s="10">
        <f t="shared" si="25"/>
        <v>26</v>
      </c>
      <c r="K122" s="17" t="e">
        <f t="shared" si="19"/>
        <v>#N/A</v>
      </c>
      <c r="L122" s="17" t="e">
        <f t="shared" si="20"/>
        <v>#N/A</v>
      </c>
      <c r="M122" s="17" t="e">
        <f t="shared" ca="1" si="26"/>
        <v>#N/A</v>
      </c>
      <c r="N122" s="227"/>
      <c r="O122" s="227"/>
      <c r="P122" s="227" t="s">
        <v>74</v>
      </c>
    </row>
    <row r="123" spans="2:16" x14ac:dyDescent="0.2">
      <c r="B123" s="152" t="s">
        <v>50</v>
      </c>
      <c r="C123" s="230" t="s">
        <v>135</v>
      </c>
      <c r="D123" s="230" t="s">
        <v>135</v>
      </c>
      <c r="E123" s="315" t="str">
        <f t="shared" si="21"/>
        <v>-</v>
      </c>
      <c r="F123" s="230" t="s">
        <v>74</v>
      </c>
      <c r="G123" s="230"/>
      <c r="H123" s="230" t="s">
        <v>74</v>
      </c>
      <c r="I123" s="10">
        <f t="shared" si="23"/>
        <v>0</v>
      </c>
      <c r="J123" s="10">
        <f t="shared" si="25"/>
        <v>27</v>
      </c>
      <c r="K123" s="17" t="e">
        <f t="shared" si="19"/>
        <v>#N/A</v>
      </c>
      <c r="L123" s="17" t="e">
        <f t="shared" si="20"/>
        <v>#N/A</v>
      </c>
      <c r="M123" s="17" t="e">
        <f t="shared" ca="1" si="26"/>
        <v>#N/A</v>
      </c>
      <c r="N123" s="227"/>
      <c r="O123" s="227"/>
      <c r="P123" s="227" t="s">
        <v>74</v>
      </c>
    </row>
    <row r="124" spans="2:16" x14ac:dyDescent="0.2">
      <c r="B124" s="152" t="s">
        <v>50</v>
      </c>
      <c r="C124" s="230" t="s">
        <v>135</v>
      </c>
      <c r="D124" s="230" t="s">
        <v>135</v>
      </c>
      <c r="E124" s="315" t="str">
        <f t="shared" si="21"/>
        <v>-</v>
      </c>
      <c r="F124" s="230" t="s">
        <v>74</v>
      </c>
      <c r="G124" s="230"/>
      <c r="H124" s="230" t="s">
        <v>74</v>
      </c>
      <c r="I124" s="10">
        <f t="shared" si="23"/>
        <v>0</v>
      </c>
      <c r="J124" s="10">
        <f t="shared" si="25"/>
        <v>28</v>
      </c>
      <c r="K124" s="17" t="e">
        <f t="shared" si="19"/>
        <v>#N/A</v>
      </c>
      <c r="L124" s="17" t="e">
        <f t="shared" si="20"/>
        <v>#N/A</v>
      </c>
      <c r="M124" s="17" t="e">
        <f t="shared" ca="1" si="26"/>
        <v>#N/A</v>
      </c>
      <c r="N124" s="227"/>
      <c r="O124" s="227"/>
      <c r="P124" s="227" t="s">
        <v>74</v>
      </c>
    </row>
    <row r="125" spans="2:16" x14ac:dyDescent="0.2">
      <c r="B125" s="152" t="s">
        <v>50</v>
      </c>
      <c r="C125" s="230" t="s">
        <v>135</v>
      </c>
      <c r="D125" s="230" t="s">
        <v>135</v>
      </c>
      <c r="E125" s="315" t="str">
        <f t="shared" si="21"/>
        <v>-</v>
      </c>
      <c r="F125" s="230" t="s">
        <v>74</v>
      </c>
      <c r="G125" s="230"/>
      <c r="H125" s="230" t="s">
        <v>74</v>
      </c>
      <c r="I125" s="10">
        <f t="shared" si="23"/>
        <v>0</v>
      </c>
      <c r="J125" s="10">
        <f t="shared" si="25"/>
        <v>29</v>
      </c>
      <c r="K125" s="17" t="e">
        <f t="shared" si="19"/>
        <v>#N/A</v>
      </c>
      <c r="L125" s="17" t="e">
        <f t="shared" si="20"/>
        <v>#N/A</v>
      </c>
      <c r="M125" s="17" t="e">
        <f t="shared" ca="1" si="26"/>
        <v>#N/A</v>
      </c>
      <c r="N125" s="227"/>
      <c r="O125" s="227"/>
      <c r="P125" s="227" t="s">
        <v>74</v>
      </c>
    </row>
    <row r="126" spans="2:16" x14ac:dyDescent="0.2">
      <c r="B126" s="152" t="s">
        <v>50</v>
      </c>
      <c r="C126" s="230" t="s">
        <v>135</v>
      </c>
      <c r="D126" s="230" t="s">
        <v>135</v>
      </c>
      <c r="E126" s="315" t="str">
        <f t="shared" si="21"/>
        <v>-</v>
      </c>
      <c r="F126" s="230" t="s">
        <v>74</v>
      </c>
      <c r="G126" s="230"/>
      <c r="H126" s="230" t="s">
        <v>74</v>
      </c>
      <c r="I126" s="10">
        <f t="shared" si="23"/>
        <v>0</v>
      </c>
      <c r="J126" s="10">
        <f t="shared" si="25"/>
        <v>30</v>
      </c>
      <c r="K126" s="17" t="e">
        <f t="shared" si="19"/>
        <v>#N/A</v>
      </c>
      <c r="L126" s="17" t="e">
        <f t="shared" si="20"/>
        <v>#N/A</v>
      </c>
      <c r="M126" s="17" t="e">
        <f t="shared" ca="1" si="26"/>
        <v>#N/A</v>
      </c>
      <c r="N126" s="227"/>
      <c r="O126" s="227"/>
      <c r="P126" s="227" t="s">
        <v>74</v>
      </c>
    </row>
    <row r="127" spans="2:16" x14ac:dyDescent="0.2">
      <c r="B127" s="152" t="s">
        <v>50</v>
      </c>
      <c r="C127" s="230" t="s">
        <v>135</v>
      </c>
      <c r="D127" s="230" t="s">
        <v>135</v>
      </c>
      <c r="E127" s="315" t="str">
        <f t="shared" si="21"/>
        <v>-</v>
      </c>
      <c r="F127" s="230" t="s">
        <v>74</v>
      </c>
      <c r="G127" s="230"/>
      <c r="H127" s="230" t="s">
        <v>74</v>
      </c>
      <c r="I127" s="10">
        <f t="shared" si="23"/>
        <v>0</v>
      </c>
      <c r="J127" s="10">
        <f t="shared" si="25"/>
        <v>31</v>
      </c>
      <c r="K127" s="17" t="e">
        <f t="shared" si="19"/>
        <v>#N/A</v>
      </c>
      <c r="L127" s="17" t="e">
        <f t="shared" si="20"/>
        <v>#N/A</v>
      </c>
      <c r="M127" s="17" t="e">
        <f t="shared" ca="1" si="26"/>
        <v>#N/A</v>
      </c>
      <c r="N127" s="227"/>
      <c r="O127" s="227"/>
      <c r="P127" s="227" t="s">
        <v>74</v>
      </c>
    </row>
    <row r="128" spans="2:16" ht="16" thickBot="1" x14ac:dyDescent="0.25">
      <c r="B128" s="136" t="s">
        <v>50</v>
      </c>
      <c r="C128" s="137" t="s">
        <v>135</v>
      </c>
      <c r="D128" s="137" t="s">
        <v>135</v>
      </c>
      <c r="E128" s="317" t="str">
        <f t="shared" si="21"/>
        <v>-</v>
      </c>
      <c r="F128" s="137" t="s">
        <v>74</v>
      </c>
      <c r="G128" s="137"/>
      <c r="H128" s="137" t="s">
        <v>74</v>
      </c>
      <c r="I128" s="12">
        <f t="shared" si="23"/>
        <v>0</v>
      </c>
      <c r="J128" s="12">
        <f t="shared" si="25"/>
        <v>32</v>
      </c>
      <c r="K128" s="18" t="e">
        <f t="shared" si="19"/>
        <v>#N/A</v>
      </c>
      <c r="L128" s="18" t="e">
        <f t="shared" si="20"/>
        <v>#N/A</v>
      </c>
      <c r="M128" s="18" t="e">
        <f t="shared" ca="1" si="26"/>
        <v>#N/A</v>
      </c>
      <c r="N128" s="228"/>
      <c r="O128" s="228"/>
      <c r="P128" s="228" t="s">
        <v>74</v>
      </c>
    </row>
    <row r="129" spans="2:16" x14ac:dyDescent="0.2">
      <c r="B129" s="238" t="s">
        <v>50</v>
      </c>
      <c r="C129" s="239" t="s">
        <v>135</v>
      </c>
      <c r="D129" s="239" t="s">
        <v>135</v>
      </c>
      <c r="E129" s="320" t="str">
        <f t="shared" si="21"/>
        <v>-</v>
      </c>
      <c r="F129" s="239" t="s">
        <v>74</v>
      </c>
      <c r="G129" s="325"/>
      <c r="H129" s="239" t="s">
        <v>74</v>
      </c>
      <c r="I129" s="237">
        <f t="shared" ref="I129:I160" si="27">IF(LEFT(H129,4)="BASE",0,IF(LEFT(H129,3)="IOX", VALUE(MID(H129,4,2))*VALUE(RIGHT(H129,1)),0))</f>
        <v>0</v>
      </c>
      <c r="J129" s="5">
        <v>1</v>
      </c>
      <c r="K129" s="15" t="e">
        <f t="shared" si="19"/>
        <v>#N/A</v>
      </c>
      <c r="L129" s="15" t="e">
        <f t="shared" si="20"/>
        <v>#N/A</v>
      </c>
      <c r="M129" s="15" t="e">
        <f t="shared" ref="M129:M145" ca="1" si="28">CONCATENATE(LEFT(L129,2),$D$5*1000+VALUE(RIGHT(L129,3)+I129))</f>
        <v>#N/A</v>
      </c>
      <c r="N129" s="226"/>
      <c r="O129" s="226"/>
      <c r="P129" s="226" t="s">
        <v>74</v>
      </c>
    </row>
    <row r="130" spans="2:16" x14ac:dyDescent="0.2">
      <c r="B130" s="152" t="s">
        <v>50</v>
      </c>
      <c r="C130" s="230" t="s">
        <v>135</v>
      </c>
      <c r="D130" s="230" t="s">
        <v>135</v>
      </c>
      <c r="E130" s="315" t="str">
        <f t="shared" si="21"/>
        <v>-</v>
      </c>
      <c r="F130" s="230" t="s">
        <v>74</v>
      </c>
      <c r="G130" s="230"/>
      <c r="H130" s="230" t="s">
        <v>74</v>
      </c>
      <c r="I130" s="10">
        <f t="shared" si="27"/>
        <v>0</v>
      </c>
      <c r="J130" s="6">
        <f t="shared" ref="J130:J160" si="29">IF(AND(H130=H129,B130=B129), J129+1,1)</f>
        <v>2</v>
      </c>
      <c r="K130" s="16" t="e">
        <f t="shared" si="19"/>
        <v>#N/A</v>
      </c>
      <c r="L130" s="16" t="e">
        <f t="shared" si="20"/>
        <v>#N/A</v>
      </c>
      <c r="M130" s="16" t="e">
        <f t="shared" ca="1" si="28"/>
        <v>#N/A</v>
      </c>
      <c r="N130" s="227"/>
      <c r="O130" s="227"/>
      <c r="P130" s="227" t="s">
        <v>74</v>
      </c>
    </row>
    <row r="131" spans="2:16" x14ac:dyDescent="0.2">
      <c r="B131" s="152" t="s">
        <v>50</v>
      </c>
      <c r="C131" s="230" t="s">
        <v>135</v>
      </c>
      <c r="D131" s="230" t="s">
        <v>135</v>
      </c>
      <c r="E131" s="315" t="str">
        <f t="shared" si="21"/>
        <v>-</v>
      </c>
      <c r="F131" s="230" t="s">
        <v>74</v>
      </c>
      <c r="G131" s="230"/>
      <c r="H131" s="230" t="s">
        <v>74</v>
      </c>
      <c r="I131" s="10">
        <f t="shared" si="27"/>
        <v>0</v>
      </c>
      <c r="J131" s="6">
        <f t="shared" si="29"/>
        <v>3</v>
      </c>
      <c r="K131" s="16" t="e">
        <f t="shared" si="19"/>
        <v>#N/A</v>
      </c>
      <c r="L131" s="16" t="e">
        <f t="shared" si="20"/>
        <v>#N/A</v>
      </c>
      <c r="M131" s="16" t="e">
        <f t="shared" ca="1" si="28"/>
        <v>#N/A</v>
      </c>
      <c r="N131" s="227"/>
      <c r="O131" s="227"/>
      <c r="P131" s="227" t="s">
        <v>74</v>
      </c>
    </row>
    <row r="132" spans="2:16" x14ac:dyDescent="0.2">
      <c r="B132" s="152" t="s">
        <v>50</v>
      </c>
      <c r="C132" s="230" t="s">
        <v>135</v>
      </c>
      <c r="D132" s="230" t="s">
        <v>135</v>
      </c>
      <c r="E132" s="315" t="str">
        <f t="shared" si="21"/>
        <v>-</v>
      </c>
      <c r="F132" s="230" t="s">
        <v>74</v>
      </c>
      <c r="G132" s="230"/>
      <c r="H132" s="230" t="s">
        <v>74</v>
      </c>
      <c r="I132" s="10">
        <f t="shared" si="27"/>
        <v>0</v>
      </c>
      <c r="J132" s="6">
        <f t="shared" si="29"/>
        <v>4</v>
      </c>
      <c r="K132" s="16" t="e">
        <f t="shared" si="19"/>
        <v>#N/A</v>
      </c>
      <c r="L132" s="16" t="e">
        <f t="shared" si="20"/>
        <v>#N/A</v>
      </c>
      <c r="M132" s="16" t="e">
        <f t="shared" ca="1" si="28"/>
        <v>#N/A</v>
      </c>
      <c r="N132" s="227"/>
      <c r="O132" s="227"/>
      <c r="P132" s="227" t="s">
        <v>74</v>
      </c>
    </row>
    <row r="133" spans="2:16" x14ac:dyDescent="0.2">
      <c r="B133" s="152" t="s">
        <v>50</v>
      </c>
      <c r="C133" s="230" t="s">
        <v>135</v>
      </c>
      <c r="D133" s="230" t="s">
        <v>135</v>
      </c>
      <c r="E133" s="315" t="str">
        <f t="shared" si="21"/>
        <v>-</v>
      </c>
      <c r="F133" s="230" t="s">
        <v>74</v>
      </c>
      <c r="G133" s="230"/>
      <c r="H133" s="230" t="s">
        <v>74</v>
      </c>
      <c r="I133" s="10">
        <f t="shared" si="27"/>
        <v>0</v>
      </c>
      <c r="J133" s="10">
        <f t="shared" si="29"/>
        <v>5</v>
      </c>
      <c r="K133" s="17" t="e">
        <f t="shared" si="19"/>
        <v>#N/A</v>
      </c>
      <c r="L133" s="17" t="e">
        <f t="shared" si="20"/>
        <v>#N/A</v>
      </c>
      <c r="M133" s="17" t="e">
        <f t="shared" ca="1" si="28"/>
        <v>#N/A</v>
      </c>
      <c r="N133" s="227"/>
      <c r="O133" s="227"/>
      <c r="P133" s="227" t="s">
        <v>74</v>
      </c>
    </row>
    <row r="134" spans="2:16" x14ac:dyDescent="0.2">
      <c r="B134" s="152" t="s">
        <v>50</v>
      </c>
      <c r="C134" s="230" t="s">
        <v>135</v>
      </c>
      <c r="D134" s="230" t="s">
        <v>135</v>
      </c>
      <c r="E134" s="315" t="str">
        <f t="shared" si="21"/>
        <v>-</v>
      </c>
      <c r="F134" s="230" t="s">
        <v>74</v>
      </c>
      <c r="G134" s="230"/>
      <c r="H134" s="230" t="s">
        <v>74</v>
      </c>
      <c r="I134" s="10">
        <f t="shared" si="27"/>
        <v>0</v>
      </c>
      <c r="J134" s="10">
        <f t="shared" si="29"/>
        <v>6</v>
      </c>
      <c r="K134" s="17" t="e">
        <f t="shared" si="19"/>
        <v>#N/A</v>
      </c>
      <c r="L134" s="17" t="e">
        <f t="shared" si="20"/>
        <v>#N/A</v>
      </c>
      <c r="M134" s="17" t="e">
        <f t="shared" ca="1" si="28"/>
        <v>#N/A</v>
      </c>
      <c r="N134" s="227"/>
      <c r="O134" s="227"/>
      <c r="P134" s="227" t="s">
        <v>74</v>
      </c>
    </row>
    <row r="135" spans="2:16" x14ac:dyDescent="0.2">
      <c r="B135" s="152" t="s">
        <v>50</v>
      </c>
      <c r="C135" s="230" t="s">
        <v>135</v>
      </c>
      <c r="D135" s="230" t="s">
        <v>135</v>
      </c>
      <c r="E135" s="315" t="str">
        <f t="shared" si="21"/>
        <v>-</v>
      </c>
      <c r="F135" s="230" t="s">
        <v>74</v>
      </c>
      <c r="G135" s="230"/>
      <c r="H135" s="230" t="s">
        <v>74</v>
      </c>
      <c r="I135" s="10">
        <f t="shared" si="27"/>
        <v>0</v>
      </c>
      <c r="J135" s="10">
        <f t="shared" si="29"/>
        <v>7</v>
      </c>
      <c r="K135" s="17" t="e">
        <f t="shared" si="19"/>
        <v>#N/A</v>
      </c>
      <c r="L135" s="17" t="e">
        <f t="shared" si="20"/>
        <v>#N/A</v>
      </c>
      <c r="M135" s="17" t="e">
        <f t="shared" ca="1" si="28"/>
        <v>#N/A</v>
      </c>
      <c r="N135" s="227"/>
      <c r="O135" s="227"/>
      <c r="P135" s="227" t="s">
        <v>74</v>
      </c>
    </row>
    <row r="136" spans="2:16" x14ac:dyDescent="0.2">
      <c r="B136" s="152" t="s">
        <v>50</v>
      </c>
      <c r="C136" s="230" t="s">
        <v>135</v>
      </c>
      <c r="D136" s="230" t="s">
        <v>135</v>
      </c>
      <c r="E136" s="315" t="str">
        <f t="shared" si="21"/>
        <v>-</v>
      </c>
      <c r="F136" s="230" t="s">
        <v>74</v>
      </c>
      <c r="G136" s="230"/>
      <c r="H136" s="230" t="s">
        <v>74</v>
      </c>
      <c r="I136" s="10">
        <f t="shared" si="27"/>
        <v>0</v>
      </c>
      <c r="J136" s="10">
        <f t="shared" si="29"/>
        <v>8</v>
      </c>
      <c r="K136" s="17" t="e">
        <f t="shared" si="19"/>
        <v>#N/A</v>
      </c>
      <c r="L136" s="17" t="e">
        <f t="shared" si="20"/>
        <v>#N/A</v>
      </c>
      <c r="M136" s="17" t="e">
        <f t="shared" ca="1" si="28"/>
        <v>#N/A</v>
      </c>
      <c r="N136" s="227"/>
      <c r="O136" s="227"/>
      <c r="P136" s="227" t="s">
        <v>74</v>
      </c>
    </row>
    <row r="137" spans="2:16" x14ac:dyDescent="0.2">
      <c r="B137" s="152" t="s">
        <v>50</v>
      </c>
      <c r="C137" s="230" t="s">
        <v>135</v>
      </c>
      <c r="D137" s="230" t="s">
        <v>135</v>
      </c>
      <c r="E137" s="315" t="str">
        <f t="shared" si="21"/>
        <v>-</v>
      </c>
      <c r="F137" s="230" t="s">
        <v>74</v>
      </c>
      <c r="G137" s="230"/>
      <c r="H137" s="230" t="s">
        <v>74</v>
      </c>
      <c r="I137" s="10">
        <f t="shared" si="27"/>
        <v>0</v>
      </c>
      <c r="J137" s="10">
        <f t="shared" si="29"/>
        <v>9</v>
      </c>
      <c r="K137" s="17" t="e">
        <f t="shared" si="19"/>
        <v>#N/A</v>
      </c>
      <c r="L137" s="17" t="e">
        <f t="shared" si="20"/>
        <v>#N/A</v>
      </c>
      <c r="M137" s="17" t="e">
        <f t="shared" ca="1" si="28"/>
        <v>#N/A</v>
      </c>
      <c r="N137" s="227"/>
      <c r="O137" s="227"/>
      <c r="P137" s="227" t="s">
        <v>74</v>
      </c>
    </row>
    <row r="138" spans="2:16" x14ac:dyDescent="0.2">
      <c r="B138" s="152" t="s">
        <v>50</v>
      </c>
      <c r="C138" s="230" t="s">
        <v>135</v>
      </c>
      <c r="D138" s="230" t="s">
        <v>135</v>
      </c>
      <c r="E138" s="315" t="str">
        <f t="shared" si="21"/>
        <v>-</v>
      </c>
      <c r="F138" s="230" t="s">
        <v>74</v>
      </c>
      <c r="G138" s="230"/>
      <c r="H138" s="230" t="s">
        <v>74</v>
      </c>
      <c r="I138" s="10">
        <f t="shared" si="27"/>
        <v>0</v>
      </c>
      <c r="J138" s="10">
        <f t="shared" si="29"/>
        <v>10</v>
      </c>
      <c r="K138" s="17" t="e">
        <f t="shared" si="19"/>
        <v>#N/A</v>
      </c>
      <c r="L138" s="17" t="e">
        <f t="shared" si="20"/>
        <v>#N/A</v>
      </c>
      <c r="M138" s="17" t="e">
        <f t="shared" ca="1" si="28"/>
        <v>#N/A</v>
      </c>
      <c r="N138" s="227"/>
      <c r="O138" s="227"/>
      <c r="P138" s="227" t="s">
        <v>74</v>
      </c>
    </row>
    <row r="139" spans="2:16" x14ac:dyDescent="0.2">
      <c r="B139" s="152" t="s">
        <v>50</v>
      </c>
      <c r="C139" s="230" t="s">
        <v>135</v>
      </c>
      <c r="D139" s="230" t="s">
        <v>135</v>
      </c>
      <c r="E139" s="315" t="str">
        <f t="shared" si="21"/>
        <v>-</v>
      </c>
      <c r="F139" s="230" t="s">
        <v>74</v>
      </c>
      <c r="G139" s="230"/>
      <c r="H139" s="230" t="s">
        <v>74</v>
      </c>
      <c r="I139" s="10">
        <f t="shared" si="27"/>
        <v>0</v>
      </c>
      <c r="J139" s="10">
        <f t="shared" si="29"/>
        <v>11</v>
      </c>
      <c r="K139" s="17" t="e">
        <f t="shared" si="19"/>
        <v>#N/A</v>
      </c>
      <c r="L139" s="17" t="e">
        <f t="shared" si="20"/>
        <v>#N/A</v>
      </c>
      <c r="M139" s="17" t="e">
        <f t="shared" ca="1" si="28"/>
        <v>#N/A</v>
      </c>
      <c r="N139" s="227"/>
      <c r="O139" s="227"/>
      <c r="P139" s="227" t="s">
        <v>74</v>
      </c>
    </row>
    <row r="140" spans="2:16" x14ac:dyDescent="0.2">
      <c r="B140" s="152" t="s">
        <v>50</v>
      </c>
      <c r="C140" s="230" t="s">
        <v>135</v>
      </c>
      <c r="D140" s="230" t="s">
        <v>135</v>
      </c>
      <c r="E140" s="315" t="str">
        <f t="shared" si="21"/>
        <v>-</v>
      </c>
      <c r="F140" s="230" t="s">
        <v>74</v>
      </c>
      <c r="G140" s="230"/>
      <c r="H140" s="230" t="s">
        <v>74</v>
      </c>
      <c r="I140" s="10">
        <f t="shared" si="27"/>
        <v>0</v>
      </c>
      <c r="J140" s="10">
        <f t="shared" si="29"/>
        <v>12</v>
      </c>
      <c r="K140" s="17" t="e">
        <f t="shared" si="19"/>
        <v>#N/A</v>
      </c>
      <c r="L140" s="17" t="e">
        <f t="shared" si="20"/>
        <v>#N/A</v>
      </c>
      <c r="M140" s="17" t="e">
        <f t="shared" ca="1" si="28"/>
        <v>#N/A</v>
      </c>
      <c r="N140" s="227"/>
      <c r="O140" s="227"/>
      <c r="P140" s="227" t="s">
        <v>74</v>
      </c>
    </row>
    <row r="141" spans="2:16" x14ac:dyDescent="0.2">
      <c r="B141" s="152" t="s">
        <v>50</v>
      </c>
      <c r="C141" s="230" t="s">
        <v>135</v>
      </c>
      <c r="D141" s="230" t="s">
        <v>135</v>
      </c>
      <c r="E141" s="315" t="str">
        <f t="shared" si="21"/>
        <v>-</v>
      </c>
      <c r="F141" s="230" t="s">
        <v>74</v>
      </c>
      <c r="G141" s="230"/>
      <c r="H141" s="230" t="s">
        <v>74</v>
      </c>
      <c r="I141" s="10">
        <f t="shared" si="27"/>
        <v>0</v>
      </c>
      <c r="J141" s="10">
        <f t="shared" si="29"/>
        <v>13</v>
      </c>
      <c r="K141" s="17" t="e">
        <f t="shared" si="19"/>
        <v>#N/A</v>
      </c>
      <c r="L141" s="17" t="e">
        <f t="shared" si="20"/>
        <v>#N/A</v>
      </c>
      <c r="M141" s="17" t="e">
        <f t="shared" ca="1" si="28"/>
        <v>#N/A</v>
      </c>
      <c r="N141" s="227"/>
      <c r="O141" s="227"/>
      <c r="P141" s="227" t="s">
        <v>74</v>
      </c>
    </row>
    <row r="142" spans="2:16" x14ac:dyDescent="0.2">
      <c r="B142" s="152" t="s">
        <v>50</v>
      </c>
      <c r="C142" s="230" t="s">
        <v>135</v>
      </c>
      <c r="D142" s="230" t="s">
        <v>135</v>
      </c>
      <c r="E142" s="315" t="str">
        <f t="shared" si="21"/>
        <v>-</v>
      </c>
      <c r="F142" s="230" t="s">
        <v>74</v>
      </c>
      <c r="G142" s="230"/>
      <c r="H142" s="230" t="s">
        <v>74</v>
      </c>
      <c r="I142" s="10">
        <f t="shared" si="27"/>
        <v>0</v>
      </c>
      <c r="J142" s="10">
        <f t="shared" si="29"/>
        <v>14</v>
      </c>
      <c r="K142" s="17" t="e">
        <f t="shared" si="19"/>
        <v>#N/A</v>
      </c>
      <c r="L142" s="17" t="e">
        <f t="shared" si="20"/>
        <v>#N/A</v>
      </c>
      <c r="M142" s="17" t="e">
        <f t="shared" ca="1" si="28"/>
        <v>#N/A</v>
      </c>
      <c r="N142" s="227"/>
      <c r="O142" s="227"/>
      <c r="P142" s="227" t="s">
        <v>74</v>
      </c>
    </row>
    <row r="143" spans="2:16" x14ac:dyDescent="0.2">
      <c r="B143" s="152" t="s">
        <v>50</v>
      </c>
      <c r="C143" s="230" t="s">
        <v>135</v>
      </c>
      <c r="D143" s="230" t="s">
        <v>135</v>
      </c>
      <c r="E143" s="315" t="str">
        <f t="shared" si="21"/>
        <v>-</v>
      </c>
      <c r="F143" s="230" t="s">
        <v>74</v>
      </c>
      <c r="G143" s="230"/>
      <c r="H143" s="230" t="s">
        <v>74</v>
      </c>
      <c r="I143" s="10">
        <f t="shared" si="27"/>
        <v>0</v>
      </c>
      <c r="J143" s="10">
        <f t="shared" si="29"/>
        <v>15</v>
      </c>
      <c r="K143" s="17" t="e">
        <f t="shared" si="19"/>
        <v>#N/A</v>
      </c>
      <c r="L143" s="17" t="e">
        <f t="shared" si="20"/>
        <v>#N/A</v>
      </c>
      <c r="M143" s="17" t="e">
        <f t="shared" ca="1" si="28"/>
        <v>#N/A</v>
      </c>
      <c r="N143" s="227"/>
      <c r="O143" s="227"/>
      <c r="P143" s="227" t="s">
        <v>74</v>
      </c>
    </row>
    <row r="144" spans="2:16" x14ac:dyDescent="0.2">
      <c r="B144" s="152" t="s">
        <v>50</v>
      </c>
      <c r="C144" s="230" t="s">
        <v>135</v>
      </c>
      <c r="D144" s="230" t="s">
        <v>135</v>
      </c>
      <c r="E144" s="315" t="str">
        <f t="shared" si="21"/>
        <v>-</v>
      </c>
      <c r="F144" s="230" t="s">
        <v>74</v>
      </c>
      <c r="G144" s="230"/>
      <c r="H144" s="230" t="s">
        <v>74</v>
      </c>
      <c r="I144" s="10">
        <f t="shared" si="27"/>
        <v>0</v>
      </c>
      <c r="J144" s="10">
        <f t="shared" si="29"/>
        <v>16</v>
      </c>
      <c r="K144" s="17" t="e">
        <f t="shared" si="19"/>
        <v>#N/A</v>
      </c>
      <c r="L144" s="17" t="e">
        <f t="shared" si="20"/>
        <v>#N/A</v>
      </c>
      <c r="M144" s="17" t="e">
        <f t="shared" ca="1" si="28"/>
        <v>#N/A</v>
      </c>
      <c r="N144" s="227"/>
      <c r="O144" s="227"/>
      <c r="P144" s="227" t="s">
        <v>74</v>
      </c>
    </row>
    <row r="145" spans="2:16" x14ac:dyDescent="0.2">
      <c r="B145" s="152" t="s">
        <v>50</v>
      </c>
      <c r="C145" s="230" t="s">
        <v>135</v>
      </c>
      <c r="D145" s="230" t="s">
        <v>135</v>
      </c>
      <c r="E145" s="315" t="str">
        <f t="shared" si="21"/>
        <v>-</v>
      </c>
      <c r="F145" s="230" t="s">
        <v>74</v>
      </c>
      <c r="G145" s="230"/>
      <c r="H145" s="230" t="s">
        <v>74</v>
      </c>
      <c r="I145" s="10">
        <f t="shared" si="27"/>
        <v>0</v>
      </c>
      <c r="J145" s="10">
        <f t="shared" si="29"/>
        <v>17</v>
      </c>
      <c r="K145" s="17" t="e">
        <f t="shared" ref="K145:K160" si="30">VLOOKUP(H145,nodeDevicePinConfigTable,3+J145+(IF(B145="IN",0,1)*VLOOKUP(H145,nodeDevicePinConfigTable,2,TRUE)),TRUE)</f>
        <v>#N/A</v>
      </c>
      <c r="L145" s="17" t="e">
        <f t="shared" ref="L145:L160" si="31">VLOOKUP(H145,nodeJMRIPinConfigTable,3+J145+(IF(B145="IN",0,1)*VLOOKUP(H145,nodeJMRIPinConfigTable,2,TRUE)),TRUE)</f>
        <v>#N/A</v>
      </c>
      <c r="M145" s="17" t="e">
        <f t="shared" ca="1" si="28"/>
        <v>#N/A</v>
      </c>
      <c r="N145" s="227"/>
      <c r="O145" s="227"/>
      <c r="P145" s="227" t="s">
        <v>74</v>
      </c>
    </row>
    <row r="146" spans="2:16" x14ac:dyDescent="0.2">
      <c r="B146" s="152" t="s">
        <v>50</v>
      </c>
      <c r="C146" s="230" t="s">
        <v>135</v>
      </c>
      <c r="D146" s="230" t="s">
        <v>135</v>
      </c>
      <c r="E146" s="315" t="str">
        <f t="shared" ref="E146:E160" si="32">IF(P146="-",P146,_xlfn.CONCAT(C146,":",P146))</f>
        <v>-</v>
      </c>
      <c r="F146" s="230" t="s">
        <v>74</v>
      </c>
      <c r="G146" s="230"/>
      <c r="H146" s="230" t="s">
        <v>74</v>
      </c>
      <c r="I146" s="10">
        <f t="shared" si="27"/>
        <v>0</v>
      </c>
      <c r="J146" s="10">
        <f t="shared" si="29"/>
        <v>18</v>
      </c>
      <c r="K146" s="17" t="e">
        <f t="shared" si="30"/>
        <v>#N/A</v>
      </c>
      <c r="L146" s="17" t="e">
        <f t="shared" si="31"/>
        <v>#N/A</v>
      </c>
      <c r="M146" s="17" t="e">
        <f t="shared" ref="M146:M160" ca="1" si="33">CONCATENATE(LEFT(L146,2),$D$5*1000+VALUE(RIGHT(L146,3)+I146))</f>
        <v>#N/A</v>
      </c>
      <c r="N146" s="227"/>
      <c r="O146" s="227"/>
      <c r="P146" s="227" t="s">
        <v>74</v>
      </c>
    </row>
    <row r="147" spans="2:16" x14ac:dyDescent="0.2">
      <c r="B147" s="152" t="s">
        <v>50</v>
      </c>
      <c r="C147" s="230" t="s">
        <v>135</v>
      </c>
      <c r="D147" s="230" t="s">
        <v>135</v>
      </c>
      <c r="E147" s="315" t="str">
        <f t="shared" si="32"/>
        <v>-</v>
      </c>
      <c r="F147" s="230" t="s">
        <v>74</v>
      </c>
      <c r="G147" s="230"/>
      <c r="H147" s="230" t="s">
        <v>74</v>
      </c>
      <c r="I147" s="10">
        <f t="shared" si="27"/>
        <v>0</v>
      </c>
      <c r="J147" s="10">
        <f t="shared" si="29"/>
        <v>19</v>
      </c>
      <c r="K147" s="17" t="e">
        <f t="shared" si="30"/>
        <v>#N/A</v>
      </c>
      <c r="L147" s="17" t="e">
        <f t="shared" si="31"/>
        <v>#N/A</v>
      </c>
      <c r="M147" s="17" t="e">
        <f t="shared" ca="1" si="33"/>
        <v>#N/A</v>
      </c>
      <c r="N147" s="227"/>
      <c r="O147" s="227"/>
      <c r="P147" s="227" t="s">
        <v>74</v>
      </c>
    </row>
    <row r="148" spans="2:16" x14ac:dyDescent="0.2">
      <c r="B148" s="152" t="s">
        <v>50</v>
      </c>
      <c r="C148" s="230" t="s">
        <v>135</v>
      </c>
      <c r="D148" s="230" t="s">
        <v>135</v>
      </c>
      <c r="E148" s="315" t="str">
        <f t="shared" si="32"/>
        <v>-</v>
      </c>
      <c r="F148" s="230" t="s">
        <v>74</v>
      </c>
      <c r="G148" s="230"/>
      <c r="H148" s="230" t="s">
        <v>74</v>
      </c>
      <c r="I148" s="10">
        <f t="shared" si="27"/>
        <v>0</v>
      </c>
      <c r="J148" s="10">
        <f t="shared" si="29"/>
        <v>20</v>
      </c>
      <c r="K148" s="17" t="e">
        <f t="shared" si="30"/>
        <v>#N/A</v>
      </c>
      <c r="L148" s="17" t="e">
        <f t="shared" si="31"/>
        <v>#N/A</v>
      </c>
      <c r="M148" s="17" t="e">
        <f t="shared" ca="1" si="33"/>
        <v>#N/A</v>
      </c>
      <c r="N148" s="227"/>
      <c r="O148" s="227"/>
      <c r="P148" s="227" t="s">
        <v>74</v>
      </c>
    </row>
    <row r="149" spans="2:16" x14ac:dyDescent="0.2">
      <c r="B149" s="152" t="s">
        <v>50</v>
      </c>
      <c r="C149" s="230" t="s">
        <v>135</v>
      </c>
      <c r="D149" s="230" t="s">
        <v>135</v>
      </c>
      <c r="E149" s="315" t="str">
        <f t="shared" si="32"/>
        <v>-</v>
      </c>
      <c r="F149" s="230" t="s">
        <v>74</v>
      </c>
      <c r="G149" s="230"/>
      <c r="H149" s="230" t="s">
        <v>74</v>
      </c>
      <c r="I149" s="10">
        <f t="shared" si="27"/>
        <v>0</v>
      </c>
      <c r="J149" s="10">
        <f t="shared" si="29"/>
        <v>21</v>
      </c>
      <c r="K149" s="17" t="e">
        <f t="shared" si="30"/>
        <v>#N/A</v>
      </c>
      <c r="L149" s="17" t="e">
        <f t="shared" si="31"/>
        <v>#N/A</v>
      </c>
      <c r="M149" s="17" t="e">
        <f t="shared" ca="1" si="33"/>
        <v>#N/A</v>
      </c>
      <c r="N149" s="227"/>
      <c r="O149" s="227"/>
      <c r="P149" s="227" t="s">
        <v>74</v>
      </c>
    </row>
    <row r="150" spans="2:16" x14ac:dyDescent="0.2">
      <c r="B150" s="152" t="s">
        <v>50</v>
      </c>
      <c r="C150" s="230" t="s">
        <v>135</v>
      </c>
      <c r="D150" s="230" t="s">
        <v>135</v>
      </c>
      <c r="E150" s="315" t="str">
        <f t="shared" si="32"/>
        <v>-</v>
      </c>
      <c r="F150" s="230" t="s">
        <v>74</v>
      </c>
      <c r="G150" s="230"/>
      <c r="H150" s="230" t="s">
        <v>74</v>
      </c>
      <c r="I150" s="10">
        <f t="shared" si="27"/>
        <v>0</v>
      </c>
      <c r="J150" s="10">
        <f t="shared" si="29"/>
        <v>22</v>
      </c>
      <c r="K150" s="17" t="e">
        <f t="shared" si="30"/>
        <v>#N/A</v>
      </c>
      <c r="L150" s="17" t="e">
        <f t="shared" si="31"/>
        <v>#N/A</v>
      </c>
      <c r="M150" s="17" t="e">
        <f t="shared" ca="1" si="33"/>
        <v>#N/A</v>
      </c>
      <c r="N150" s="227"/>
      <c r="O150" s="227"/>
      <c r="P150" s="227" t="s">
        <v>74</v>
      </c>
    </row>
    <row r="151" spans="2:16" x14ac:dyDescent="0.2">
      <c r="B151" s="152" t="s">
        <v>50</v>
      </c>
      <c r="C151" s="230" t="s">
        <v>135</v>
      </c>
      <c r="D151" s="230" t="s">
        <v>135</v>
      </c>
      <c r="E151" s="315" t="str">
        <f t="shared" si="32"/>
        <v>-</v>
      </c>
      <c r="F151" s="230" t="s">
        <v>74</v>
      </c>
      <c r="G151" s="230"/>
      <c r="H151" s="230" t="s">
        <v>74</v>
      </c>
      <c r="I151" s="10">
        <f t="shared" si="27"/>
        <v>0</v>
      </c>
      <c r="J151" s="10">
        <f t="shared" si="29"/>
        <v>23</v>
      </c>
      <c r="K151" s="17" t="e">
        <f t="shared" si="30"/>
        <v>#N/A</v>
      </c>
      <c r="L151" s="17" t="e">
        <f t="shared" si="31"/>
        <v>#N/A</v>
      </c>
      <c r="M151" s="17" t="e">
        <f t="shared" ca="1" si="33"/>
        <v>#N/A</v>
      </c>
      <c r="N151" s="227"/>
      <c r="O151" s="227"/>
      <c r="P151" s="227" t="s">
        <v>74</v>
      </c>
    </row>
    <row r="152" spans="2:16" x14ac:dyDescent="0.2">
      <c r="B152" s="152" t="s">
        <v>50</v>
      </c>
      <c r="C152" s="230" t="s">
        <v>135</v>
      </c>
      <c r="D152" s="230" t="s">
        <v>135</v>
      </c>
      <c r="E152" s="315" t="str">
        <f t="shared" si="32"/>
        <v>-</v>
      </c>
      <c r="F152" s="230" t="s">
        <v>74</v>
      </c>
      <c r="G152" s="230"/>
      <c r="H152" s="230" t="s">
        <v>74</v>
      </c>
      <c r="I152" s="10">
        <f t="shared" si="27"/>
        <v>0</v>
      </c>
      <c r="J152" s="10">
        <f t="shared" si="29"/>
        <v>24</v>
      </c>
      <c r="K152" s="17" t="e">
        <f t="shared" si="30"/>
        <v>#N/A</v>
      </c>
      <c r="L152" s="17" t="e">
        <f t="shared" si="31"/>
        <v>#N/A</v>
      </c>
      <c r="M152" s="17" t="e">
        <f t="shared" ca="1" si="33"/>
        <v>#N/A</v>
      </c>
      <c r="N152" s="227"/>
      <c r="O152" s="227"/>
      <c r="P152" s="227" t="s">
        <v>74</v>
      </c>
    </row>
    <row r="153" spans="2:16" x14ac:dyDescent="0.2">
      <c r="B153" s="152" t="s">
        <v>50</v>
      </c>
      <c r="C153" s="230" t="s">
        <v>135</v>
      </c>
      <c r="D153" s="230" t="s">
        <v>135</v>
      </c>
      <c r="E153" s="315" t="str">
        <f t="shared" si="32"/>
        <v>-</v>
      </c>
      <c r="F153" s="230" t="s">
        <v>74</v>
      </c>
      <c r="G153" s="230"/>
      <c r="H153" s="230" t="s">
        <v>74</v>
      </c>
      <c r="I153" s="10">
        <f t="shared" si="27"/>
        <v>0</v>
      </c>
      <c r="J153" s="10">
        <f t="shared" si="29"/>
        <v>25</v>
      </c>
      <c r="K153" s="17" t="e">
        <f t="shared" si="30"/>
        <v>#N/A</v>
      </c>
      <c r="L153" s="17" t="e">
        <f t="shared" si="31"/>
        <v>#N/A</v>
      </c>
      <c r="M153" s="17" t="e">
        <f t="shared" ca="1" si="33"/>
        <v>#N/A</v>
      </c>
      <c r="N153" s="227"/>
      <c r="O153" s="227"/>
      <c r="P153" s="227" t="s">
        <v>74</v>
      </c>
    </row>
    <row r="154" spans="2:16" x14ac:dyDescent="0.2">
      <c r="B154" s="152" t="s">
        <v>50</v>
      </c>
      <c r="C154" s="230" t="s">
        <v>135</v>
      </c>
      <c r="D154" s="230" t="s">
        <v>135</v>
      </c>
      <c r="E154" s="315" t="str">
        <f t="shared" si="32"/>
        <v>-</v>
      </c>
      <c r="F154" s="230" t="s">
        <v>74</v>
      </c>
      <c r="G154" s="230"/>
      <c r="H154" s="230" t="s">
        <v>74</v>
      </c>
      <c r="I154" s="10">
        <f t="shared" si="27"/>
        <v>0</v>
      </c>
      <c r="J154" s="10">
        <f t="shared" si="29"/>
        <v>26</v>
      </c>
      <c r="K154" s="17" t="e">
        <f t="shared" si="30"/>
        <v>#N/A</v>
      </c>
      <c r="L154" s="17" t="e">
        <f t="shared" si="31"/>
        <v>#N/A</v>
      </c>
      <c r="M154" s="17" t="e">
        <f t="shared" ca="1" si="33"/>
        <v>#N/A</v>
      </c>
      <c r="N154" s="227"/>
      <c r="O154" s="227"/>
      <c r="P154" s="227" t="s">
        <v>74</v>
      </c>
    </row>
    <row r="155" spans="2:16" x14ac:dyDescent="0.2">
      <c r="B155" s="152" t="s">
        <v>50</v>
      </c>
      <c r="C155" s="230" t="s">
        <v>135</v>
      </c>
      <c r="D155" s="230" t="s">
        <v>135</v>
      </c>
      <c r="E155" s="315" t="str">
        <f t="shared" si="32"/>
        <v>-</v>
      </c>
      <c r="F155" s="230" t="s">
        <v>74</v>
      </c>
      <c r="G155" s="230"/>
      <c r="H155" s="230" t="s">
        <v>74</v>
      </c>
      <c r="I155" s="10">
        <f t="shared" si="27"/>
        <v>0</v>
      </c>
      <c r="J155" s="10">
        <f t="shared" si="29"/>
        <v>27</v>
      </c>
      <c r="K155" s="17" t="e">
        <f t="shared" si="30"/>
        <v>#N/A</v>
      </c>
      <c r="L155" s="17" t="e">
        <f t="shared" si="31"/>
        <v>#N/A</v>
      </c>
      <c r="M155" s="17" t="e">
        <f t="shared" ca="1" si="33"/>
        <v>#N/A</v>
      </c>
      <c r="N155" s="227"/>
      <c r="O155" s="227"/>
      <c r="P155" s="227" t="s">
        <v>74</v>
      </c>
    </row>
    <row r="156" spans="2:16" x14ac:dyDescent="0.2">
      <c r="B156" s="152" t="s">
        <v>50</v>
      </c>
      <c r="C156" s="230" t="s">
        <v>135</v>
      </c>
      <c r="D156" s="230" t="s">
        <v>135</v>
      </c>
      <c r="E156" s="315" t="str">
        <f t="shared" si="32"/>
        <v>-</v>
      </c>
      <c r="F156" s="230" t="s">
        <v>74</v>
      </c>
      <c r="G156" s="230"/>
      <c r="H156" s="230" t="s">
        <v>74</v>
      </c>
      <c r="I156" s="10">
        <f t="shared" si="27"/>
        <v>0</v>
      </c>
      <c r="J156" s="10">
        <f t="shared" si="29"/>
        <v>28</v>
      </c>
      <c r="K156" s="17" t="e">
        <f t="shared" si="30"/>
        <v>#N/A</v>
      </c>
      <c r="L156" s="17" t="e">
        <f t="shared" si="31"/>
        <v>#N/A</v>
      </c>
      <c r="M156" s="17" t="e">
        <f t="shared" ca="1" si="33"/>
        <v>#N/A</v>
      </c>
      <c r="N156" s="227"/>
      <c r="O156" s="227"/>
      <c r="P156" s="227" t="s">
        <v>74</v>
      </c>
    </row>
    <row r="157" spans="2:16" x14ac:dyDescent="0.2">
      <c r="B157" s="152" t="s">
        <v>50</v>
      </c>
      <c r="C157" s="230" t="s">
        <v>135</v>
      </c>
      <c r="D157" s="230" t="s">
        <v>135</v>
      </c>
      <c r="E157" s="315" t="str">
        <f t="shared" si="32"/>
        <v>-</v>
      </c>
      <c r="F157" s="230" t="s">
        <v>74</v>
      </c>
      <c r="G157" s="230"/>
      <c r="H157" s="230" t="s">
        <v>74</v>
      </c>
      <c r="I157" s="10">
        <f t="shared" si="27"/>
        <v>0</v>
      </c>
      <c r="J157" s="10">
        <f t="shared" si="29"/>
        <v>29</v>
      </c>
      <c r="K157" s="17" t="e">
        <f t="shared" si="30"/>
        <v>#N/A</v>
      </c>
      <c r="L157" s="17" t="e">
        <f t="shared" si="31"/>
        <v>#N/A</v>
      </c>
      <c r="M157" s="17" t="e">
        <f t="shared" ca="1" si="33"/>
        <v>#N/A</v>
      </c>
      <c r="N157" s="227"/>
      <c r="O157" s="227"/>
      <c r="P157" s="227" t="s">
        <v>74</v>
      </c>
    </row>
    <row r="158" spans="2:16" x14ac:dyDescent="0.2">
      <c r="B158" s="152" t="s">
        <v>50</v>
      </c>
      <c r="C158" s="230" t="s">
        <v>135</v>
      </c>
      <c r="D158" s="230" t="s">
        <v>135</v>
      </c>
      <c r="E158" s="315" t="str">
        <f t="shared" si="32"/>
        <v>-</v>
      </c>
      <c r="F158" s="230" t="s">
        <v>74</v>
      </c>
      <c r="G158" s="230"/>
      <c r="H158" s="230" t="s">
        <v>74</v>
      </c>
      <c r="I158" s="10">
        <f t="shared" si="27"/>
        <v>0</v>
      </c>
      <c r="J158" s="10">
        <f t="shared" si="29"/>
        <v>30</v>
      </c>
      <c r="K158" s="17" t="e">
        <f t="shared" si="30"/>
        <v>#N/A</v>
      </c>
      <c r="L158" s="17" t="e">
        <f t="shared" si="31"/>
        <v>#N/A</v>
      </c>
      <c r="M158" s="17" t="e">
        <f t="shared" ca="1" si="33"/>
        <v>#N/A</v>
      </c>
      <c r="N158" s="227"/>
      <c r="O158" s="227"/>
      <c r="P158" s="227" t="s">
        <v>74</v>
      </c>
    </row>
    <row r="159" spans="2:16" x14ac:dyDescent="0.2">
      <c r="B159" s="152" t="s">
        <v>50</v>
      </c>
      <c r="C159" s="230" t="s">
        <v>135</v>
      </c>
      <c r="D159" s="230" t="s">
        <v>135</v>
      </c>
      <c r="E159" s="315" t="str">
        <f t="shared" si="32"/>
        <v>-</v>
      </c>
      <c r="F159" s="230" t="s">
        <v>74</v>
      </c>
      <c r="G159" s="230"/>
      <c r="H159" s="230" t="s">
        <v>74</v>
      </c>
      <c r="I159" s="10">
        <f t="shared" si="27"/>
        <v>0</v>
      </c>
      <c r="J159" s="10">
        <f t="shared" si="29"/>
        <v>31</v>
      </c>
      <c r="K159" s="17" t="e">
        <f t="shared" si="30"/>
        <v>#N/A</v>
      </c>
      <c r="L159" s="17" t="e">
        <f t="shared" si="31"/>
        <v>#N/A</v>
      </c>
      <c r="M159" s="17" t="e">
        <f t="shared" ca="1" si="33"/>
        <v>#N/A</v>
      </c>
      <c r="N159" s="227"/>
      <c r="O159" s="227"/>
      <c r="P159" s="227" t="s">
        <v>74</v>
      </c>
    </row>
    <row r="160" spans="2:16" ht="16" thickBot="1" x14ac:dyDescent="0.25">
      <c r="B160" s="136" t="s">
        <v>50</v>
      </c>
      <c r="C160" s="137" t="s">
        <v>135</v>
      </c>
      <c r="D160" s="137" t="s">
        <v>135</v>
      </c>
      <c r="E160" s="317" t="str">
        <f t="shared" si="32"/>
        <v>-</v>
      </c>
      <c r="F160" s="137" t="s">
        <v>74</v>
      </c>
      <c r="G160" s="137"/>
      <c r="H160" s="137" t="s">
        <v>74</v>
      </c>
      <c r="I160" s="12">
        <f t="shared" si="27"/>
        <v>0</v>
      </c>
      <c r="J160" s="12">
        <f t="shared" si="29"/>
        <v>32</v>
      </c>
      <c r="K160" s="18" t="e">
        <f t="shared" si="30"/>
        <v>#N/A</v>
      </c>
      <c r="L160" s="18" t="e">
        <f t="shared" si="31"/>
        <v>#N/A</v>
      </c>
      <c r="M160" s="18" t="e">
        <f t="shared" ca="1" si="33"/>
        <v>#N/A</v>
      </c>
      <c r="N160" s="228"/>
      <c r="O160" s="228"/>
      <c r="P160" s="228" t="s">
        <v>74</v>
      </c>
    </row>
  </sheetData>
  <mergeCells count="15">
    <mergeCell ref="B15:P15"/>
    <mergeCell ref="Q2:X2"/>
    <mergeCell ref="E3:F5"/>
    <mergeCell ref="H3:K3"/>
    <mergeCell ref="L3:N3"/>
    <mergeCell ref="H4:K4"/>
    <mergeCell ref="L4:N4"/>
    <mergeCell ref="H5:K5"/>
    <mergeCell ref="L5:N5"/>
    <mergeCell ref="O3:P5"/>
    <mergeCell ref="B3:D3"/>
    <mergeCell ref="B5:C5"/>
    <mergeCell ref="B4:C4"/>
    <mergeCell ref="C7:C14"/>
    <mergeCell ref="B2:P2"/>
  </mergeCells>
  <phoneticPr fontId="8" type="noConversion"/>
  <dataValidations count="5">
    <dataValidation type="list" allowBlank="1" showInputMessage="1" showErrorMessage="1" sqref="F17:F160" xr:uid="{00000000-0002-0000-0100-000002000000}">
      <formula1>DCC_Decoders</formula1>
    </dataValidation>
    <dataValidation type="list" allowBlank="1" showInputMessage="1" showErrorMessage="1" sqref="D5" xr:uid="{40E9F8CC-4E3C-B142-8B9F-31D0B46C3F7D}">
      <formula1>cpNode_Addresses</formula1>
    </dataValidation>
    <dataValidation type="list" allowBlank="1" showInputMessage="1" showErrorMessage="1" sqref="C17:C160" xr:uid="{7CA9C269-FE76-E54A-B646-6D8AB1D56C94}">
      <formula1>VALID_MODULES</formula1>
    </dataValidation>
    <dataValidation type="list" allowBlank="1" showInputMessage="1" showErrorMessage="1" sqref="H17:H160" xr:uid="{237285A6-206B-0545-BF59-E592ED2E1B70}">
      <formula1>Module2Nodes</formula1>
    </dataValidation>
    <dataValidation type="list" allowBlank="1" showInputMessage="1" showErrorMessage="1" sqref="G17:G160" xr:uid="{456AA509-4D3A-1548-A32A-AE2393D91229}">
      <formula1>JMRI_STATE</formula1>
    </dataValidation>
  </dataValidations>
  <printOptions horizontalCentered="1" gridLines="1"/>
  <pageMargins left="0.7" right="0.7" top="0.75" bottom="0.75" header="0.3" footer="0.3"/>
  <pageSetup scale="43" orientation="landscape" horizontalDpi="4294967292" verticalDpi="4294967292"/>
  <ignoredErrors>
    <ignoredError sqref="X4 X6 X8"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10775959-41DB-4893-A899-C62D90045762}">
          <x14:formula1>
            <xm:f>OFFSET('System Parameters'!$J$1, MATCH(B17,'System Parameters'!$J:$J,0)-1,1,COUNTIF('System Parameters'!$J:$J,B17),1)</xm:f>
          </x14:formula1>
          <xm:sqref>D17:D160</xm:sqref>
        </x14:dataValidation>
        <x14:dataValidation type="list" allowBlank="1" showInputMessage="1" showErrorMessage="1" xr:uid="{B2B7A92A-730E-40C0-B237-A906F02946F6}">
          <x14:formula1>
            <xm:f>OFFSET('System Parameters'!$N$1, MATCH(A6,'System Parameters'!$N:$N,0)-1,1,COUNTIF('System Parameters'!$N:$N,A6),1)</xm:f>
          </x14:formula1>
          <xm:sqref>D6:D14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69050-6299-914A-A2F3-FF2CDF79E464}">
  <dimension ref="A1:BK160"/>
  <sheetViews>
    <sheetView topLeftCell="B2" zoomScale="180" zoomScaleNormal="180" workbookViewId="0">
      <selection activeCell="P48" sqref="P48"/>
    </sheetView>
  </sheetViews>
  <sheetFormatPr baseColWidth="10" defaultColWidth="8.83203125" defaultRowHeight="15" x14ac:dyDescent="0.2"/>
  <cols>
    <col min="1" max="1" width="2.83203125" style="1" hidden="1" customWidth="1"/>
    <col min="2" max="2" width="10.83203125" style="1" customWidth="1"/>
    <col min="3" max="3" width="24" style="1" customWidth="1"/>
    <col min="4" max="4" width="22.6640625" style="1" customWidth="1"/>
    <col min="5" max="5" width="35" style="257" customWidth="1"/>
    <col min="6" max="7" width="8.33203125" style="1" customWidth="1"/>
    <col min="8" max="8" width="19.83203125" style="257" customWidth="1"/>
    <col min="9" max="9" width="8.33203125" style="257" customWidth="1"/>
    <col min="10" max="10" width="7.1640625" style="257" customWidth="1"/>
    <col min="11" max="11" width="8.83203125" style="257"/>
    <col min="12" max="12" width="10.5" style="257" customWidth="1"/>
    <col min="13" max="13" width="14.6640625" style="257" customWidth="1"/>
    <col min="14" max="14" width="29.1640625" style="1" customWidth="1"/>
    <col min="15" max="15" width="25" style="1" customWidth="1"/>
    <col min="16" max="16" width="21.1640625" style="1" customWidth="1"/>
    <col min="17" max="17" width="13.5" style="1" hidden="1" customWidth="1"/>
    <col min="18" max="21" width="0" style="1" hidden="1" customWidth="1"/>
    <col min="22" max="22" width="14.6640625" style="1" hidden="1" customWidth="1"/>
    <col min="23" max="23" width="10.33203125" style="1" hidden="1" customWidth="1"/>
    <col min="24" max="24" width="0.1640625" style="1" hidden="1" customWidth="1"/>
    <col min="25" max="16384" width="8.83203125" style="1"/>
  </cols>
  <sheetData>
    <row r="1" spans="1:24" ht="17" hidden="1" customHeight="1" x14ac:dyDescent="0.2"/>
    <row r="2" spans="1:24" ht="27" customHeight="1" thickBot="1" x14ac:dyDescent="0.25">
      <c r="B2" s="413" t="s">
        <v>202</v>
      </c>
      <c r="C2" s="414"/>
      <c r="D2" s="414"/>
      <c r="E2" s="414"/>
      <c r="F2" s="414"/>
      <c r="G2" s="414"/>
      <c r="H2" s="414"/>
      <c r="I2" s="414"/>
      <c r="J2" s="414"/>
      <c r="K2" s="414"/>
      <c r="L2" s="414"/>
      <c r="M2" s="414"/>
      <c r="N2" s="414"/>
      <c r="O2" s="414"/>
      <c r="P2" s="415"/>
      <c r="Q2" s="422" t="s">
        <v>203</v>
      </c>
      <c r="R2" s="423"/>
      <c r="S2" s="423"/>
      <c r="T2" s="423"/>
      <c r="U2" s="423"/>
      <c r="V2" s="423"/>
      <c r="W2" s="423"/>
      <c r="X2" s="424"/>
    </row>
    <row r="3" spans="1:24" ht="22" customHeight="1" thickBot="1" x14ac:dyDescent="0.25">
      <c r="B3" s="442" t="s">
        <v>204</v>
      </c>
      <c r="C3" s="443"/>
      <c r="D3" s="444"/>
      <c r="E3" s="434" t="s">
        <v>205</v>
      </c>
      <c r="F3" s="435"/>
      <c r="G3" s="329"/>
      <c r="H3" s="425" t="str">
        <f>"const long CMRINET_SPEED =  " &amp; CMRINET_BAUD_RATE &amp; ";"</f>
        <v>const long CMRINET_SPEED =  115200;</v>
      </c>
      <c r="I3" s="426"/>
      <c r="J3" s="426"/>
      <c r="K3" s="426"/>
      <c r="L3" s="438"/>
      <c r="M3" s="438"/>
      <c r="N3" s="439"/>
      <c r="O3" s="416" t="s">
        <v>495</v>
      </c>
      <c r="P3" s="417"/>
      <c r="Q3" s="270" t="str">
        <f t="shared" ref="Q3:Q10" si="0">IF(D7="-",D7,VLOOKUP(D7,IOXSketchTable,2,TRUE))</f>
        <v>ADDR 20-21</v>
      </c>
      <c r="R3" s="29" t="str">
        <f t="shared" ref="R3:R10" si="1">IF(D7="-",D7,VLOOKUP(D7,IOXSketchTable,3,TRUE))</f>
        <v>0, 0, 0, 0</v>
      </c>
      <c r="S3" s="29" t="b">
        <f>IF(Q3&lt;&gt;"-", TRUE, FALSE)</f>
        <v>1</v>
      </c>
      <c r="T3" s="29">
        <v>0</v>
      </c>
      <c r="U3" s="29" t="b">
        <f t="shared" ref="U3:U10" si="2">IF(D7&lt;&gt;"-",IF(LEFT(D6,5)="IOX32",FALSE,IF(VALUE(RIGHT(D7,1))&lt;&gt;T3,FALSE, TRUE)),TRUE)</f>
        <v>1</v>
      </c>
      <c r="V3" s="29" t="str">
        <f>"ADDR 20-21"</f>
        <v>ADDR 20-21</v>
      </c>
      <c r="W3" s="29" t="str">
        <f>"ADDR 20"</f>
        <v>ADDR 20</v>
      </c>
      <c r="X3" s="104" t="str">
        <f>IF(Q3=V3,LEFT(R3,4),IF(Q3=W3,R3,"-1, -1"))</f>
        <v>0, 0</v>
      </c>
    </row>
    <row r="4" spans="1:24" ht="22" customHeight="1" thickBot="1" x14ac:dyDescent="0.25">
      <c r="B4" s="445" t="s">
        <v>206</v>
      </c>
      <c r="C4" s="446"/>
      <c r="D4" s="56" t="str">
        <f ca="1">RIGHT(CELL("filename",A1),LEN(CELL("filename",A1))-FIND("]",CELL("filename",A1)))</f>
        <v>Node 3</v>
      </c>
      <c r="E4" s="434"/>
      <c r="F4" s="435"/>
      <c r="G4" s="329"/>
      <c r="H4" s="427" t="str">
        <f ca="1">"int nodeID = " &amp; $D$5 &amp; ";"</f>
        <v>int nodeID = 3;</v>
      </c>
      <c r="I4" s="428"/>
      <c r="J4" s="428"/>
      <c r="K4" s="428"/>
      <c r="L4" s="431" t="str">
        <f>IF($S$11,"#DEFINE USE_IOX","//#DEFINE USE_IOX")</f>
        <v>#DEFINE USE_IOX</v>
      </c>
      <c r="M4" s="431"/>
      <c r="N4" s="432"/>
      <c r="O4" s="418"/>
      <c r="P4" s="419"/>
      <c r="Q4" s="98" t="str">
        <f t="shared" si="0"/>
        <v>-</v>
      </c>
      <c r="R4" s="10" t="str">
        <f t="shared" si="1"/>
        <v>-</v>
      </c>
      <c r="S4" s="29" t="b">
        <f t="shared" ref="S4:S10" si="3">IF(Q4&lt;&gt;"-", TRUE, FALSE)</f>
        <v>0</v>
      </c>
      <c r="T4" s="10">
        <v>1</v>
      </c>
      <c r="U4" s="10" t="b">
        <f t="shared" si="2"/>
        <v>1</v>
      </c>
      <c r="V4" s="10"/>
      <c r="W4" s="10" t="str">
        <f>"ADDR 21"</f>
        <v>ADDR 21</v>
      </c>
      <c r="X4" s="92" t="str">
        <f>IF(Q3=V3,RIGHT(R3,4),IF(Q4=W4,R4,"-1, -1"))</f>
        <v>0, 0</v>
      </c>
    </row>
    <row r="5" spans="1:24" ht="22" customHeight="1" thickBot="1" x14ac:dyDescent="0.25">
      <c r="A5" s="1" t="s">
        <v>37</v>
      </c>
      <c r="B5" s="440" t="s">
        <v>207</v>
      </c>
      <c r="C5" s="441"/>
      <c r="D5" s="67">
        <f ca="1">VLOOKUP(D4, NODE_TABLE,2)</f>
        <v>3</v>
      </c>
      <c r="E5" s="436"/>
      <c r="F5" s="437"/>
      <c r="G5" s="328"/>
      <c r="H5" s="429" t="str">
        <f>"#DEFINE "&amp;$D$6</f>
        <v>#DEFINE BASE_NODE_16IN</v>
      </c>
      <c r="I5" s="430"/>
      <c r="J5" s="430"/>
      <c r="K5" s="430"/>
      <c r="L5" s="430" t="str">
        <f>"IOX_ioMap[max_IOX] = { "&amp; $X$3 &amp; ", " &amp; $X$4 &amp; ", " &amp; $X$5 &amp; ", " &amp; $X$6 &amp; ", " &amp; $X$7 &amp; ", " &amp; $X$8 &amp; ", " &amp; $X$9 &amp; ", " &amp; $X$10 &amp; " };"</f>
        <v>IOX_ioMap[max_IOX] = { 0, 0, 0, 0, -1, -1, -1, -1, -1, -1, -1, -1, -1, -1, -1, -1 };</v>
      </c>
      <c r="M5" s="430"/>
      <c r="N5" s="433"/>
      <c r="O5" s="420"/>
      <c r="P5" s="421"/>
      <c r="Q5" s="98" t="str">
        <f t="shared" si="0"/>
        <v>-</v>
      </c>
      <c r="R5" s="10" t="str">
        <f t="shared" si="1"/>
        <v>-</v>
      </c>
      <c r="S5" s="29" t="b">
        <f t="shared" si="3"/>
        <v>0</v>
      </c>
      <c r="T5" s="10">
        <v>2</v>
      </c>
      <c r="U5" s="10" t="b">
        <f t="shared" si="2"/>
        <v>1</v>
      </c>
      <c r="V5" s="10" t="str">
        <f>"ADDR 22-23"</f>
        <v>ADDR 22-23</v>
      </c>
      <c r="W5" s="10" t="str">
        <f>"ADDR 22"</f>
        <v>ADDR 22</v>
      </c>
      <c r="X5" s="92" t="str">
        <f>IF(Q5=V5,LEFT(R5,4),IF(Q5=W5,R5,"-1, -1"))</f>
        <v>-1, -1</v>
      </c>
    </row>
    <row r="6" spans="1:24" ht="22" customHeight="1" x14ac:dyDescent="0.2">
      <c r="A6" s="1" t="s">
        <v>12</v>
      </c>
      <c r="B6" s="105" t="str">
        <f>"IOX ADDR"</f>
        <v>IOX ADDR</v>
      </c>
      <c r="C6" s="80" t="s">
        <v>208</v>
      </c>
      <c r="D6" s="69" t="s">
        <v>13</v>
      </c>
      <c r="E6" s="74" t="s">
        <v>209</v>
      </c>
      <c r="F6" s="88">
        <f t="shared" ref="F6:F14" si="4">IF(LEFT(D6,4)="BASE",16,IF(LEFT(D6,3)="IOX",VALUE(MID(D6,4,2)),0))</f>
        <v>16</v>
      </c>
      <c r="G6" s="330"/>
      <c r="H6" s="109" t="s">
        <v>210</v>
      </c>
      <c r="I6" s="110" t="s">
        <v>76</v>
      </c>
      <c r="J6" s="110" t="s">
        <v>77</v>
      </c>
      <c r="K6" s="110" t="s">
        <v>78</v>
      </c>
      <c r="L6" s="111" t="s">
        <v>38</v>
      </c>
      <c r="M6" s="112" t="s">
        <v>211</v>
      </c>
      <c r="N6" s="103" t="str">
        <f>IF(U11=FALSE,"IOX Addressing Error",IF(OR(M7&gt;144,M11&lt;0),"Too Many IOX Modules","Looks Good"))</f>
        <v>Looks Good</v>
      </c>
      <c r="O6" s="280" t="s">
        <v>707</v>
      </c>
      <c r="P6" s="282">
        <f t="shared" ref="P6:P12" si="5">COUNTIF($C$17:$C$160,$O6)</f>
        <v>0</v>
      </c>
      <c r="Q6" s="98" t="str">
        <f t="shared" si="0"/>
        <v>-</v>
      </c>
      <c r="R6" s="10" t="str">
        <f t="shared" si="1"/>
        <v>-</v>
      </c>
      <c r="S6" s="29" t="b">
        <f t="shared" si="3"/>
        <v>0</v>
      </c>
      <c r="T6" s="10">
        <v>3</v>
      </c>
      <c r="U6" s="10" t="b">
        <f t="shared" si="2"/>
        <v>1</v>
      </c>
      <c r="V6" s="10"/>
      <c r="W6" s="10" t="str">
        <f>"ADDR 23"</f>
        <v>ADDR 23</v>
      </c>
      <c r="X6" s="92" t="str">
        <f>IF(Q5=V5,RIGHT(R5,4),IF(Q6=W6,R6,"-1, -1"))</f>
        <v>-1, -1</v>
      </c>
    </row>
    <row r="7" spans="1:24" ht="22" customHeight="1" x14ac:dyDescent="0.2">
      <c r="A7" s="1" t="s">
        <v>16</v>
      </c>
      <c r="B7" s="70" t="s">
        <v>212</v>
      </c>
      <c r="C7" s="411" t="s">
        <v>213</v>
      </c>
      <c r="D7" s="68" t="s">
        <v>17</v>
      </c>
      <c r="E7" s="75" t="str">
        <f>" Total IOX ("&amp;B7&amp;") I/O ="</f>
        <v xml:space="preserve"> Total IOX (0x20) I/O =</v>
      </c>
      <c r="F7" s="89">
        <f t="shared" si="4"/>
        <v>32</v>
      </c>
      <c r="G7" s="331"/>
      <c r="H7" s="96" t="str">
        <f>IF($L7&lt;&gt;"n/a",VLOOKUP($L7,IOXJumperConfiguration,2,TRUE),$L7)</f>
        <v>ADDR 20-21</v>
      </c>
      <c r="I7" s="10" t="str">
        <f t="shared" ref="I7:I14" si="6">IF($L7&lt;&gt;"n/a",VLOOKUP($L7,IOXJumperConfiguration,3,TRUE),$L7)</f>
        <v>n/a</v>
      </c>
      <c r="J7" s="10" t="str">
        <f t="shared" ref="J7:J14" si="7">IF($L7&lt;&gt;"n/a",VLOOKUP($L7,IOXJumperConfiguration,4,TRUE),$L7)</f>
        <v>Out</v>
      </c>
      <c r="K7" s="10" t="str">
        <f t="shared" ref="K7:K14" si="8">IF($L7&lt;&gt;"n/a",VLOOKUP($L7,IOXJumperConfiguration,5,TRUE),$L7)</f>
        <v>Out</v>
      </c>
      <c r="L7" s="101" t="str">
        <f t="shared" ref="L7:L14" si="9">IF(LEFT($D7,3)="IOX", LEFT($D7,5)&amp;RIGHT($D7,2), "n/a")</f>
        <v>IOX32_0</v>
      </c>
      <c r="M7" s="98">
        <f>SUM($F$6:$F$14)</f>
        <v>48</v>
      </c>
      <c r="N7" s="81" t="s">
        <v>214</v>
      </c>
      <c r="O7" s="280" t="s">
        <v>708</v>
      </c>
      <c r="P7" s="282">
        <f t="shared" si="5"/>
        <v>0</v>
      </c>
      <c r="Q7" s="98" t="str">
        <f t="shared" si="0"/>
        <v>-</v>
      </c>
      <c r="R7" s="10" t="str">
        <f t="shared" si="1"/>
        <v>-</v>
      </c>
      <c r="S7" s="29" t="b">
        <f t="shared" si="3"/>
        <v>0</v>
      </c>
      <c r="T7" s="10">
        <v>4</v>
      </c>
      <c r="U7" s="10" t="b">
        <f t="shared" si="2"/>
        <v>1</v>
      </c>
      <c r="V7" s="10" t="str">
        <f>"ADDR 24-25"</f>
        <v>ADDR 24-25</v>
      </c>
      <c r="W7" s="10" t="str">
        <f>"ADDR 24"</f>
        <v>ADDR 24</v>
      </c>
      <c r="X7" s="92" t="str">
        <f>IF(Q7=V7,LEFT(R7,4),IF(Q7=W7,R7,"-1, -1"))</f>
        <v>-1, -1</v>
      </c>
    </row>
    <row r="8" spans="1:24" ht="22" customHeight="1" x14ac:dyDescent="0.2">
      <c r="A8" s="1" t="s">
        <v>16</v>
      </c>
      <c r="B8" s="70" t="s">
        <v>215</v>
      </c>
      <c r="C8" s="411"/>
      <c r="D8" s="68" t="s">
        <v>74</v>
      </c>
      <c r="E8" s="75" t="str">
        <f t="shared" ref="E8:E14" si="10">" Total IOX ("&amp;B8&amp;") I/O ="</f>
        <v xml:space="preserve"> Total IOX (0x21) I/O =</v>
      </c>
      <c r="F8" s="89">
        <f t="shared" si="4"/>
        <v>0</v>
      </c>
      <c r="G8" s="331"/>
      <c r="H8" s="96" t="str">
        <f t="shared" ref="H8:H14" si="11">IF(L8&lt;&gt;"n/a",VLOOKUP(L8,IOXJumperConfiguration,2,TRUE),L8)</f>
        <v>n/a</v>
      </c>
      <c r="I8" s="72" t="str">
        <f t="shared" si="6"/>
        <v>n/a</v>
      </c>
      <c r="J8" s="72" t="str">
        <f t="shared" si="7"/>
        <v>n/a</v>
      </c>
      <c r="K8" s="72" t="str">
        <f t="shared" si="8"/>
        <v>n/a</v>
      </c>
      <c r="L8" s="92" t="str">
        <f t="shared" si="9"/>
        <v>n/a</v>
      </c>
      <c r="M8" s="99">
        <f>COUNTIF(D7:D14,"IOX16*")*2</f>
        <v>0</v>
      </c>
      <c r="N8" s="81" t="s">
        <v>216</v>
      </c>
      <c r="O8" s="280" t="s">
        <v>703</v>
      </c>
      <c r="P8" s="282">
        <f t="shared" si="5"/>
        <v>0</v>
      </c>
      <c r="Q8" s="98" t="str">
        <f t="shared" si="0"/>
        <v>-</v>
      </c>
      <c r="R8" s="10" t="str">
        <f t="shared" si="1"/>
        <v>-</v>
      </c>
      <c r="S8" s="29" t="b">
        <f t="shared" si="3"/>
        <v>0</v>
      </c>
      <c r="T8" s="10">
        <v>5</v>
      </c>
      <c r="U8" s="10" t="b">
        <f t="shared" si="2"/>
        <v>1</v>
      </c>
      <c r="V8" s="10"/>
      <c r="W8" s="10" t="str">
        <f>"ADDR 25"</f>
        <v>ADDR 25</v>
      </c>
      <c r="X8" s="92" t="str">
        <f>IF(Q7=V7,RIGHT(R7,4),IF(Q8=W8,R8,"-1, -1"))</f>
        <v>-1, -1</v>
      </c>
    </row>
    <row r="9" spans="1:24" ht="22" customHeight="1" x14ac:dyDescent="0.2">
      <c r="A9" s="1" t="s">
        <v>16</v>
      </c>
      <c r="B9" s="70" t="s">
        <v>217</v>
      </c>
      <c r="C9" s="411"/>
      <c r="D9" s="68" t="s">
        <v>74</v>
      </c>
      <c r="E9" s="75" t="str">
        <f t="shared" si="10"/>
        <v xml:space="preserve"> Total IOX (0x22) I/O =</v>
      </c>
      <c r="F9" s="89">
        <f t="shared" si="4"/>
        <v>0</v>
      </c>
      <c r="G9" s="331"/>
      <c r="H9" s="96" t="str">
        <f t="shared" si="11"/>
        <v>n/a</v>
      </c>
      <c r="I9" s="72" t="str">
        <f t="shared" si="6"/>
        <v>n/a</v>
      </c>
      <c r="J9" s="72" t="str">
        <f t="shared" si="7"/>
        <v>n/a</v>
      </c>
      <c r="K9" s="72" t="str">
        <f t="shared" si="8"/>
        <v>n/a</v>
      </c>
      <c r="L9" s="92" t="str">
        <f t="shared" si="9"/>
        <v>n/a</v>
      </c>
      <c r="M9" s="99">
        <f>COUNTIF(D7:D14,"IOX32*")*4</f>
        <v>4</v>
      </c>
      <c r="N9" s="95" t="s">
        <v>218</v>
      </c>
      <c r="O9" s="280" t="s">
        <v>704</v>
      </c>
      <c r="P9" s="282">
        <f t="shared" si="5"/>
        <v>0</v>
      </c>
      <c r="Q9" s="98" t="str">
        <f t="shared" si="0"/>
        <v>-</v>
      </c>
      <c r="R9" s="10" t="str">
        <f t="shared" si="1"/>
        <v>-</v>
      </c>
      <c r="S9" s="29" t="b">
        <f t="shared" si="3"/>
        <v>0</v>
      </c>
      <c r="T9" s="10">
        <v>6</v>
      </c>
      <c r="U9" s="10" t="b">
        <f t="shared" si="2"/>
        <v>1</v>
      </c>
      <c r="V9" s="10" t="str">
        <f>"ADDR 26-27"</f>
        <v>ADDR 26-27</v>
      </c>
      <c r="W9" s="10" t="str">
        <f>"ADDR 26"</f>
        <v>ADDR 26</v>
      </c>
      <c r="X9" s="92" t="str">
        <f>IF(Q9=V9,LEFT(R9,4),IF(Q9=W9,R9,"-1, -1"))</f>
        <v>-1, -1</v>
      </c>
    </row>
    <row r="10" spans="1:24" ht="22" customHeight="1" x14ac:dyDescent="0.2">
      <c r="A10" s="1" t="s">
        <v>16</v>
      </c>
      <c r="B10" s="70" t="s">
        <v>219</v>
      </c>
      <c r="C10" s="411"/>
      <c r="D10" s="68" t="s">
        <v>74</v>
      </c>
      <c r="E10" s="75" t="str">
        <f t="shared" si="10"/>
        <v xml:space="preserve"> Total IOX (0x23) I/O =</v>
      </c>
      <c r="F10" s="89">
        <f t="shared" si="4"/>
        <v>0</v>
      </c>
      <c r="G10" s="331"/>
      <c r="H10" s="96" t="str">
        <f t="shared" si="11"/>
        <v>n/a</v>
      </c>
      <c r="I10" s="72" t="str">
        <f t="shared" si="6"/>
        <v>n/a</v>
      </c>
      <c r="J10" s="72" t="str">
        <f t="shared" si="7"/>
        <v>n/a</v>
      </c>
      <c r="K10" s="72" t="str">
        <f t="shared" si="8"/>
        <v>n/a</v>
      </c>
      <c r="L10" s="92" t="str">
        <f t="shared" si="9"/>
        <v>n/a</v>
      </c>
      <c r="M10" s="99">
        <f>4*4</f>
        <v>16</v>
      </c>
      <c r="N10" s="95" t="s">
        <v>220</v>
      </c>
      <c r="O10" s="280" t="s">
        <v>705</v>
      </c>
      <c r="P10" s="282">
        <f t="shared" si="5"/>
        <v>23</v>
      </c>
      <c r="Q10" s="98" t="str">
        <f t="shared" si="0"/>
        <v>-</v>
      </c>
      <c r="R10" s="10" t="str">
        <f t="shared" si="1"/>
        <v>-</v>
      </c>
      <c r="S10" s="29" t="b">
        <f t="shared" si="3"/>
        <v>0</v>
      </c>
      <c r="T10" s="10">
        <v>7</v>
      </c>
      <c r="U10" s="10" t="b">
        <f t="shared" si="2"/>
        <v>1</v>
      </c>
      <c r="V10" s="10"/>
      <c r="W10" s="10" t="str">
        <f>"ADDR 27"</f>
        <v>ADDR 27</v>
      </c>
      <c r="X10" s="92" t="str">
        <f>IF(Q9=V9,RIGHT(R9,4),IF(Q10=W10,R10,"-1, -1"))</f>
        <v>-1, -1</v>
      </c>
    </row>
    <row r="11" spans="1:24" ht="22" customHeight="1" thickBot="1" x14ac:dyDescent="0.25">
      <c r="A11" s="1" t="s">
        <v>16</v>
      </c>
      <c r="B11" s="70" t="s">
        <v>221</v>
      </c>
      <c r="C11" s="411"/>
      <c r="D11" s="68" t="s">
        <v>74</v>
      </c>
      <c r="E11" s="75" t="str">
        <f t="shared" si="10"/>
        <v xml:space="preserve"> Total IOX (0x24) I/O =</v>
      </c>
      <c r="F11" s="89">
        <f t="shared" si="4"/>
        <v>0</v>
      </c>
      <c r="G11" s="331"/>
      <c r="H11" s="96" t="str">
        <f t="shared" si="11"/>
        <v>n/a</v>
      </c>
      <c r="I11" s="72" t="str">
        <f t="shared" si="6"/>
        <v>n/a</v>
      </c>
      <c r="J11" s="72" t="str">
        <f t="shared" si="7"/>
        <v>n/a</v>
      </c>
      <c r="K11" s="72" t="str">
        <f t="shared" si="8"/>
        <v>n/a</v>
      </c>
      <c r="L11" s="92" t="str">
        <f t="shared" si="9"/>
        <v>n/a</v>
      </c>
      <c r="M11" s="99">
        <f>M10-M8-M9</f>
        <v>12</v>
      </c>
      <c r="N11" s="95" t="s">
        <v>222</v>
      </c>
      <c r="O11" s="280" t="s">
        <v>706</v>
      </c>
      <c r="P11" s="282">
        <f t="shared" si="5"/>
        <v>0</v>
      </c>
      <c r="Q11" s="271"/>
      <c r="R11" s="107" t="s">
        <v>223</v>
      </c>
      <c r="S11" s="106" t="b">
        <f>OR(S3:S10)</f>
        <v>1</v>
      </c>
      <c r="T11" s="7"/>
      <c r="U11" s="106" t="b">
        <f>AND(U3:U10)</f>
        <v>1</v>
      </c>
      <c r="V11" s="106"/>
      <c r="W11" s="106"/>
      <c r="X11" s="108"/>
    </row>
    <row r="12" spans="1:24" ht="22" customHeight="1" x14ac:dyDescent="0.2">
      <c r="A12" s="1" t="s">
        <v>16</v>
      </c>
      <c r="B12" s="70" t="s">
        <v>224</v>
      </c>
      <c r="C12" s="411"/>
      <c r="D12" s="68" t="s">
        <v>74</v>
      </c>
      <c r="E12" s="75" t="str">
        <f t="shared" si="10"/>
        <v xml:space="preserve"> Total IOX (0x25) I/O =</v>
      </c>
      <c r="F12" s="89">
        <f t="shared" si="4"/>
        <v>0</v>
      </c>
      <c r="G12" s="331"/>
      <c r="H12" s="96" t="str">
        <f t="shared" si="11"/>
        <v>n/a</v>
      </c>
      <c r="I12" s="72" t="str">
        <f t="shared" si="6"/>
        <v>n/a</v>
      </c>
      <c r="J12" s="72" t="str">
        <f t="shared" si="7"/>
        <v>n/a</v>
      </c>
      <c r="K12" s="72" t="str">
        <f t="shared" si="8"/>
        <v>n/a</v>
      </c>
      <c r="L12" s="92" t="str">
        <f t="shared" si="9"/>
        <v>n/a</v>
      </c>
      <c r="M12" s="99">
        <f>FLOOR(M11/2,1)</f>
        <v>6</v>
      </c>
      <c r="N12" s="95" t="s">
        <v>225</v>
      </c>
      <c r="O12" s="272" t="s">
        <v>135</v>
      </c>
      <c r="P12" s="282">
        <f t="shared" si="5"/>
        <v>121</v>
      </c>
    </row>
    <row r="13" spans="1:24" ht="22" customHeight="1" x14ac:dyDescent="0.2">
      <c r="A13" s="1" t="s">
        <v>16</v>
      </c>
      <c r="B13" s="70" t="s">
        <v>226</v>
      </c>
      <c r="C13" s="411"/>
      <c r="D13" s="68" t="s">
        <v>74</v>
      </c>
      <c r="E13" s="75" t="str">
        <f t="shared" si="10"/>
        <v xml:space="preserve"> Total IOX (0x26) I/O =</v>
      </c>
      <c r="F13" s="89">
        <f t="shared" si="4"/>
        <v>0</v>
      </c>
      <c r="G13" s="331"/>
      <c r="H13" s="96" t="str">
        <f t="shared" si="11"/>
        <v>n/a</v>
      </c>
      <c r="I13" s="72" t="str">
        <f t="shared" si="6"/>
        <v>n/a</v>
      </c>
      <c r="J13" s="72" t="str">
        <f t="shared" si="7"/>
        <v>n/a</v>
      </c>
      <c r="K13" s="72" t="str">
        <f t="shared" si="8"/>
        <v>n/a</v>
      </c>
      <c r="L13" s="92" t="str">
        <f t="shared" si="9"/>
        <v>n/a</v>
      </c>
      <c r="M13" s="99">
        <f>FLOOR(M11/4,1)</f>
        <v>3</v>
      </c>
      <c r="N13" s="95" t="s">
        <v>227</v>
      </c>
      <c r="O13" s="272" t="s">
        <v>685</v>
      </c>
      <c r="P13" s="282">
        <f>SUM(P6:P12)</f>
        <v>144</v>
      </c>
    </row>
    <row r="14" spans="1:24" ht="22" customHeight="1" thickBot="1" x14ac:dyDescent="0.25">
      <c r="A14" s="1" t="s">
        <v>16</v>
      </c>
      <c r="B14" s="71" t="s">
        <v>228</v>
      </c>
      <c r="C14" s="412"/>
      <c r="D14" s="273" t="s">
        <v>74</v>
      </c>
      <c r="E14" s="76" t="str">
        <f t="shared" si="10"/>
        <v xml:space="preserve"> Total IOX (0x27) I/O =</v>
      </c>
      <c r="F14" s="90">
        <f t="shared" si="4"/>
        <v>0</v>
      </c>
      <c r="G14" s="332"/>
      <c r="H14" s="97" t="str">
        <f t="shared" si="11"/>
        <v>n/a</v>
      </c>
      <c r="I14" s="73" t="str">
        <f t="shared" si="6"/>
        <v>n/a</v>
      </c>
      <c r="J14" s="73" t="str">
        <f t="shared" si="7"/>
        <v>n/a</v>
      </c>
      <c r="K14" s="73" t="str">
        <f t="shared" si="8"/>
        <v>n/a</v>
      </c>
      <c r="L14" s="102" t="str">
        <f t="shared" si="9"/>
        <v>n/a</v>
      </c>
      <c r="M14" s="100"/>
      <c r="N14" s="91"/>
      <c r="O14" s="4"/>
      <c r="P14" s="283"/>
    </row>
    <row r="15" spans="1:24" s="2" customFormat="1" ht="27" customHeight="1" thickBot="1" x14ac:dyDescent="0.25">
      <c r="B15" s="413" t="s">
        <v>548</v>
      </c>
      <c r="C15" s="414"/>
      <c r="D15" s="414"/>
      <c r="E15" s="414"/>
      <c r="F15" s="414"/>
      <c r="G15" s="414"/>
      <c r="H15" s="414"/>
      <c r="I15" s="414"/>
      <c r="J15" s="414"/>
      <c r="K15" s="414"/>
      <c r="L15" s="414"/>
      <c r="M15" s="414"/>
      <c r="N15" s="414"/>
      <c r="O15" s="414"/>
      <c r="P15" s="415"/>
    </row>
    <row r="16" spans="1:24"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row>
    <row r="17" spans="1:63" s="3" customFormat="1" x14ac:dyDescent="0.2">
      <c r="A17" s="150"/>
      <c r="B17" s="255" t="s">
        <v>46</v>
      </c>
      <c r="C17" s="311" t="s">
        <v>705</v>
      </c>
      <c r="D17" s="256" t="s">
        <v>786</v>
      </c>
      <c r="E17" s="320" t="str">
        <f t="shared" ref="E17:E48" si="12">IF(P17="-",P17,_xlfn.CONCAT(C17,":",P17))</f>
        <v>CTC_OS_LEFT:OME:TS1</v>
      </c>
      <c r="F17" s="256" t="s">
        <v>74</v>
      </c>
      <c r="G17" s="325" t="s">
        <v>783</v>
      </c>
      <c r="H17" s="256" t="s">
        <v>13</v>
      </c>
      <c r="I17" s="254">
        <f>IF(LEFT(H17,4)="BASE",0,IF(LEFT(H17,3)="IOX", VALUE(MID(H17,4,2))*VALUE(RIGHT(H17,1)),0))</f>
        <v>0</v>
      </c>
      <c r="J17" s="5">
        <f t="shared" ref="J17:J64" si="13">IF(AND(H17=H16,B17=B16), J16+1,1)</f>
        <v>1</v>
      </c>
      <c r="K17" s="15" t="str">
        <f t="shared" ref="K17:K80" si="14">VLOOKUP(H17,nodeDevicePinConfigTable,3+J17+(IF(B17="IN",0,1)*VLOOKUP(H17,nodeDevicePinConfigTable,2,TRUE)),TRUE)</f>
        <v>D4</v>
      </c>
      <c r="L17" s="15" t="str">
        <f t="shared" ref="L17:L80" si="15">VLOOKUP(H17,nodeJMRIPinConfigTable,3+J17+(IF(B17="IN",0,1)*VLOOKUP(H17,nodeJMRIPinConfigTable,2,TRUE)),TRUE)</f>
        <v>CSn001</v>
      </c>
      <c r="M17" s="15" t="str">
        <f t="shared" ref="M17:M80" ca="1" si="16">CONCATENATE(LEFT(L17,2),$D$5*1000+VALUE(RIGHT(L17,3)+I17))</f>
        <v>CS3001</v>
      </c>
      <c r="N17" s="226" t="s">
        <v>652</v>
      </c>
      <c r="O17" s="226"/>
      <c r="P17" s="320" t="s">
        <v>714</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row>
    <row r="18" spans="1:63" x14ac:dyDescent="0.2">
      <c r="A18" s="147"/>
      <c r="B18" s="152" t="s">
        <v>46</v>
      </c>
      <c r="C18" s="230" t="s">
        <v>705</v>
      </c>
      <c r="D18" s="230" t="s">
        <v>786</v>
      </c>
      <c r="E18" s="315" t="str">
        <f t="shared" si="12"/>
        <v>CTC_OS_LEFT:OME:TS2</v>
      </c>
      <c r="F18" s="230" t="s">
        <v>74</v>
      </c>
      <c r="G18" s="230" t="s">
        <v>783</v>
      </c>
      <c r="H18" s="230" t="s">
        <v>13</v>
      </c>
      <c r="I18" s="10">
        <f t="shared" ref="I18:I81" si="17">IF(LEFT(H18,4)="BASE",0,IF(LEFT(H18,3)="IOX", VALUE(MID(H18,4,2))*VALUE(RIGHT(H18,1)),0))</f>
        <v>0</v>
      </c>
      <c r="J18" s="6">
        <f t="shared" si="13"/>
        <v>2</v>
      </c>
      <c r="K18" s="16" t="str">
        <f t="shared" si="14"/>
        <v>D5</v>
      </c>
      <c r="L18" s="16" t="str">
        <f t="shared" si="15"/>
        <v>CSn002</v>
      </c>
      <c r="M18" s="16" t="str">
        <f t="shared" ca="1" si="16"/>
        <v>CS3002</v>
      </c>
      <c r="N18" s="227" t="s">
        <v>653</v>
      </c>
      <c r="O18" s="227"/>
      <c r="P18" s="315" t="s">
        <v>715</v>
      </c>
    </row>
    <row r="19" spans="1:63" x14ac:dyDescent="0.2">
      <c r="A19" s="147"/>
      <c r="B19" s="152" t="s">
        <v>46</v>
      </c>
      <c r="C19" s="230" t="s">
        <v>135</v>
      </c>
      <c r="D19" s="230" t="s">
        <v>135</v>
      </c>
      <c r="E19" s="315" t="str">
        <f t="shared" si="12"/>
        <v>-</v>
      </c>
      <c r="F19" s="230" t="s">
        <v>74</v>
      </c>
      <c r="G19" s="230"/>
      <c r="H19" s="230" t="s">
        <v>13</v>
      </c>
      <c r="I19" s="10">
        <f t="shared" si="17"/>
        <v>0</v>
      </c>
      <c r="J19" s="6">
        <f t="shared" si="13"/>
        <v>3</v>
      </c>
      <c r="K19" s="16" t="str">
        <f t="shared" si="14"/>
        <v>D6</v>
      </c>
      <c r="L19" s="16" t="str">
        <f t="shared" si="15"/>
        <v>CSn003</v>
      </c>
      <c r="M19" s="16" t="str">
        <f t="shared" ca="1" si="16"/>
        <v>CS3003</v>
      </c>
      <c r="N19" s="227"/>
      <c r="O19" s="227"/>
      <c r="P19" s="315" t="s">
        <v>74</v>
      </c>
    </row>
    <row r="20" spans="1:63" x14ac:dyDescent="0.2">
      <c r="A20" s="147"/>
      <c r="B20" s="152" t="s">
        <v>46</v>
      </c>
      <c r="C20" s="230" t="s">
        <v>135</v>
      </c>
      <c r="D20" s="230" t="s">
        <v>135</v>
      </c>
      <c r="E20" s="315" t="str">
        <f t="shared" ref="E20:E21" si="18">IF(P20="-",P20,_xlfn.CONCAT(C20,":",P20))</f>
        <v>-</v>
      </c>
      <c r="F20" s="230" t="s">
        <v>74</v>
      </c>
      <c r="G20" s="230"/>
      <c r="H20" s="230" t="s">
        <v>13</v>
      </c>
      <c r="I20" s="10">
        <f t="shared" si="17"/>
        <v>0</v>
      </c>
      <c r="J20" s="6">
        <f t="shared" si="13"/>
        <v>4</v>
      </c>
      <c r="K20" s="16" t="str">
        <f t="shared" si="14"/>
        <v>D7</v>
      </c>
      <c r="L20" s="16" t="str">
        <f t="shared" si="15"/>
        <v>CSn004</v>
      </c>
      <c r="M20" s="16" t="str">
        <f t="shared" ca="1" si="16"/>
        <v>CS3004</v>
      </c>
      <c r="N20" s="227"/>
      <c r="O20" s="227"/>
      <c r="P20" s="315" t="s">
        <v>74</v>
      </c>
    </row>
    <row r="21" spans="1:63" x14ac:dyDescent="0.2">
      <c r="A21" s="147"/>
      <c r="B21" s="152" t="s">
        <v>46</v>
      </c>
      <c r="C21" s="230" t="s">
        <v>705</v>
      </c>
      <c r="D21" s="230" t="s">
        <v>786</v>
      </c>
      <c r="E21" s="315" t="str">
        <f t="shared" si="18"/>
        <v>CTC_OS_LEFT:IMW:TS1</v>
      </c>
      <c r="F21" s="230" t="s">
        <v>74</v>
      </c>
      <c r="G21" s="230" t="s">
        <v>783</v>
      </c>
      <c r="H21" s="230" t="s">
        <v>13</v>
      </c>
      <c r="I21" s="10">
        <f t="shared" si="17"/>
        <v>0</v>
      </c>
      <c r="J21" s="6">
        <f t="shared" si="13"/>
        <v>5</v>
      </c>
      <c r="K21" s="16" t="str">
        <f t="shared" si="14"/>
        <v>D8</v>
      </c>
      <c r="L21" s="16" t="str">
        <f t="shared" si="15"/>
        <v>CSn005</v>
      </c>
      <c r="M21" s="16" t="str">
        <f t="shared" ca="1" si="16"/>
        <v>CS3005</v>
      </c>
      <c r="N21" s="227" t="s">
        <v>654</v>
      </c>
      <c r="O21" s="227"/>
      <c r="P21" s="315" t="s">
        <v>742</v>
      </c>
    </row>
    <row r="22" spans="1:63" s="4" customFormat="1" ht="16" thickBot="1" x14ac:dyDescent="0.25">
      <c r="A22" s="147"/>
      <c r="B22" s="152" t="s">
        <v>46</v>
      </c>
      <c r="C22" s="230" t="s">
        <v>705</v>
      </c>
      <c r="D22" s="230" t="s">
        <v>786</v>
      </c>
      <c r="E22" s="315" t="str">
        <f t="shared" si="12"/>
        <v>CTC_OS_LEFT:IMW:TS2</v>
      </c>
      <c r="F22" s="230" t="s">
        <v>74</v>
      </c>
      <c r="G22" s="230" t="s">
        <v>783</v>
      </c>
      <c r="H22" s="230" t="s">
        <v>13</v>
      </c>
      <c r="I22" s="10">
        <f t="shared" si="17"/>
        <v>0</v>
      </c>
      <c r="J22" s="6">
        <f t="shared" si="13"/>
        <v>6</v>
      </c>
      <c r="K22" s="16" t="str">
        <f t="shared" si="14"/>
        <v>D9</v>
      </c>
      <c r="L22" s="16" t="str">
        <f t="shared" si="15"/>
        <v>CSn006</v>
      </c>
      <c r="M22" s="16" t="str">
        <f t="shared" ca="1" si="16"/>
        <v>CS3006</v>
      </c>
      <c r="N22" s="227" t="s">
        <v>655</v>
      </c>
      <c r="O22" s="227"/>
      <c r="P22" s="315" t="s">
        <v>743</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s="3" customFormat="1" x14ac:dyDescent="0.2">
      <c r="A23" s="147"/>
      <c r="B23" s="152" t="s">
        <v>46</v>
      </c>
      <c r="C23" s="230" t="s">
        <v>135</v>
      </c>
      <c r="D23" s="230" t="s">
        <v>135</v>
      </c>
      <c r="E23" s="315" t="str">
        <f t="shared" si="12"/>
        <v>-</v>
      </c>
      <c r="F23" s="230" t="s">
        <v>74</v>
      </c>
      <c r="G23" s="230"/>
      <c r="H23" s="230" t="s">
        <v>13</v>
      </c>
      <c r="I23" s="10">
        <f t="shared" si="17"/>
        <v>0</v>
      </c>
      <c r="J23" s="6">
        <f t="shared" si="13"/>
        <v>7</v>
      </c>
      <c r="K23" s="16" t="str">
        <f t="shared" si="14"/>
        <v>D10</v>
      </c>
      <c r="L23" s="16" t="str">
        <f t="shared" si="15"/>
        <v>CSn007</v>
      </c>
      <c r="M23" s="16" t="str">
        <f t="shared" ca="1" si="16"/>
        <v>CS3007</v>
      </c>
      <c r="N23" s="227"/>
      <c r="O23" s="227"/>
      <c r="P23" s="315" t="s">
        <v>74</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x14ac:dyDescent="0.2">
      <c r="A24" s="147"/>
      <c r="B24" s="152" t="s">
        <v>46</v>
      </c>
      <c r="C24" s="230" t="s">
        <v>135</v>
      </c>
      <c r="D24" s="230" t="s">
        <v>135</v>
      </c>
      <c r="E24" s="315" t="str">
        <f t="shared" si="12"/>
        <v>-</v>
      </c>
      <c r="F24" s="230" t="s">
        <v>74</v>
      </c>
      <c r="G24" s="230"/>
      <c r="H24" s="230" t="s">
        <v>13</v>
      </c>
      <c r="I24" s="10">
        <f t="shared" si="17"/>
        <v>0</v>
      </c>
      <c r="J24" s="6">
        <f t="shared" si="13"/>
        <v>8</v>
      </c>
      <c r="K24" s="16" t="str">
        <f t="shared" si="14"/>
        <v>D11</v>
      </c>
      <c r="L24" s="16" t="str">
        <f t="shared" si="15"/>
        <v>CSn008</v>
      </c>
      <c r="M24" s="16" t="str">
        <f t="shared" ca="1" si="16"/>
        <v>CS3008</v>
      </c>
      <c r="N24" s="227"/>
      <c r="O24" s="227"/>
      <c r="P24" s="315" t="s">
        <v>74</v>
      </c>
    </row>
    <row r="25" spans="1:63" x14ac:dyDescent="0.2">
      <c r="A25" s="147"/>
      <c r="B25" s="152" t="s">
        <v>46</v>
      </c>
      <c r="C25" s="230" t="s">
        <v>705</v>
      </c>
      <c r="D25" s="230" t="s">
        <v>711</v>
      </c>
      <c r="E25" s="315" t="str">
        <f t="shared" si="12"/>
        <v>CTC_OS_LEFT:TO_RSR</v>
      </c>
      <c r="F25" s="230" t="s">
        <v>74</v>
      </c>
      <c r="G25" s="230" t="s">
        <v>782</v>
      </c>
      <c r="H25" s="230" t="s">
        <v>13</v>
      </c>
      <c r="I25" s="10">
        <f t="shared" si="17"/>
        <v>0</v>
      </c>
      <c r="J25" s="6">
        <f t="shared" si="13"/>
        <v>9</v>
      </c>
      <c r="K25" s="16" t="str">
        <f t="shared" si="14"/>
        <v>D12</v>
      </c>
      <c r="L25" s="16" t="str">
        <f t="shared" si="15"/>
        <v>CSn009</v>
      </c>
      <c r="M25" s="16" t="str">
        <f t="shared" ca="1" si="16"/>
        <v>CS3009</v>
      </c>
      <c r="N25" s="227" t="s">
        <v>805</v>
      </c>
      <c r="O25" s="227"/>
      <c r="P25" s="315" t="s">
        <v>792</v>
      </c>
    </row>
    <row r="26" spans="1:63" x14ac:dyDescent="0.2">
      <c r="A26" s="147"/>
      <c r="B26" s="152" t="s">
        <v>46</v>
      </c>
      <c r="C26" s="230" t="s">
        <v>705</v>
      </c>
      <c r="D26" s="230" t="s">
        <v>785</v>
      </c>
      <c r="E26" s="315" t="str">
        <f t="shared" si="12"/>
        <v>CTC_OS_LEFT:TO_RUR</v>
      </c>
      <c r="F26" s="230" t="s">
        <v>74</v>
      </c>
      <c r="G26" s="230" t="s">
        <v>782</v>
      </c>
      <c r="H26" s="230" t="s">
        <v>13</v>
      </c>
      <c r="I26" s="10">
        <f t="shared" si="17"/>
        <v>0</v>
      </c>
      <c r="J26" s="6">
        <f t="shared" si="13"/>
        <v>10</v>
      </c>
      <c r="K26" s="16" t="str">
        <f t="shared" si="14"/>
        <v>D13</v>
      </c>
      <c r="L26" s="16" t="str">
        <f t="shared" si="15"/>
        <v>CSn010</v>
      </c>
      <c r="M26" s="16" t="str">
        <f t="shared" ca="1" si="16"/>
        <v>CS3010</v>
      </c>
      <c r="N26" s="227" t="s">
        <v>807</v>
      </c>
      <c r="O26" s="227"/>
      <c r="P26" s="315" t="s">
        <v>808</v>
      </c>
    </row>
    <row r="27" spans="1:63" x14ac:dyDescent="0.2">
      <c r="A27" s="147"/>
      <c r="B27" s="152" t="s">
        <v>46</v>
      </c>
      <c r="C27" s="230" t="s">
        <v>135</v>
      </c>
      <c r="D27" s="230" t="s">
        <v>135</v>
      </c>
      <c r="E27" s="315" t="str">
        <f t="shared" si="12"/>
        <v>-</v>
      </c>
      <c r="F27" s="230" t="s">
        <v>74</v>
      </c>
      <c r="G27" s="230"/>
      <c r="H27" s="230" t="s">
        <v>13</v>
      </c>
      <c r="I27" s="10">
        <f t="shared" si="17"/>
        <v>0</v>
      </c>
      <c r="J27" s="6">
        <f t="shared" si="13"/>
        <v>11</v>
      </c>
      <c r="K27" s="16" t="str">
        <f t="shared" si="14"/>
        <v>A0</v>
      </c>
      <c r="L27" s="16" t="str">
        <f t="shared" si="15"/>
        <v>CSn011</v>
      </c>
      <c r="M27" s="16" t="str">
        <f t="shared" ca="1" si="16"/>
        <v>CS3011</v>
      </c>
      <c r="N27" s="227"/>
      <c r="O27" s="227"/>
      <c r="P27" s="315" t="s">
        <v>74</v>
      </c>
    </row>
    <row r="28" spans="1:63" x14ac:dyDescent="0.2">
      <c r="A28" s="147"/>
      <c r="B28" s="152" t="s">
        <v>46</v>
      </c>
      <c r="C28" s="230" t="s">
        <v>135</v>
      </c>
      <c r="D28" s="230" t="s">
        <v>135</v>
      </c>
      <c r="E28" s="315" t="str">
        <f t="shared" si="12"/>
        <v>-</v>
      </c>
      <c r="F28" s="230" t="s">
        <v>74</v>
      </c>
      <c r="G28" s="230"/>
      <c r="H28" s="230" t="s">
        <v>13</v>
      </c>
      <c r="I28" s="10">
        <f t="shared" si="17"/>
        <v>0</v>
      </c>
      <c r="J28" s="6">
        <f t="shared" si="13"/>
        <v>12</v>
      </c>
      <c r="K28" s="16" t="str">
        <f t="shared" si="14"/>
        <v>A1</v>
      </c>
      <c r="L28" s="16" t="str">
        <f t="shared" si="15"/>
        <v>CSn012</v>
      </c>
      <c r="M28" s="16" t="str">
        <f t="shared" ca="1" si="16"/>
        <v>CS3012</v>
      </c>
      <c r="N28" s="227"/>
      <c r="O28" s="227"/>
      <c r="P28" s="315" t="s">
        <v>74</v>
      </c>
    </row>
    <row r="29" spans="1:63" x14ac:dyDescent="0.2">
      <c r="A29" s="147"/>
      <c r="B29" s="152" t="s">
        <v>46</v>
      </c>
      <c r="C29" s="230" t="s">
        <v>135</v>
      </c>
      <c r="D29" s="230" t="s">
        <v>135</v>
      </c>
      <c r="E29" s="315" t="str">
        <f t="shared" si="12"/>
        <v>-</v>
      </c>
      <c r="F29" s="230" t="s">
        <v>74</v>
      </c>
      <c r="G29" s="230"/>
      <c r="H29" s="230" t="s">
        <v>13</v>
      </c>
      <c r="I29" s="10">
        <f t="shared" si="17"/>
        <v>0</v>
      </c>
      <c r="J29" s="6">
        <f t="shared" si="13"/>
        <v>13</v>
      </c>
      <c r="K29" s="16" t="str">
        <f t="shared" si="14"/>
        <v>A2</v>
      </c>
      <c r="L29" s="16" t="str">
        <f t="shared" si="15"/>
        <v>CSn013</v>
      </c>
      <c r="M29" s="16" t="str">
        <f t="shared" ca="1" si="16"/>
        <v>CS3013</v>
      </c>
      <c r="N29" s="227"/>
      <c r="O29" s="227"/>
      <c r="P29" s="315" t="s">
        <v>74</v>
      </c>
    </row>
    <row r="30" spans="1:63" x14ac:dyDescent="0.2">
      <c r="A30" s="147"/>
      <c r="B30" s="152" t="s">
        <v>46</v>
      </c>
      <c r="C30" s="230" t="s">
        <v>135</v>
      </c>
      <c r="D30" s="230" t="s">
        <v>135</v>
      </c>
      <c r="E30" s="315" t="str">
        <f t="shared" si="12"/>
        <v>-</v>
      </c>
      <c r="F30" s="230" t="s">
        <v>74</v>
      </c>
      <c r="G30" s="230"/>
      <c r="H30" s="230" t="s">
        <v>13</v>
      </c>
      <c r="I30" s="10">
        <f t="shared" si="17"/>
        <v>0</v>
      </c>
      <c r="J30" s="6">
        <f t="shared" si="13"/>
        <v>14</v>
      </c>
      <c r="K30" s="16" t="str">
        <f t="shared" si="14"/>
        <v>A3</v>
      </c>
      <c r="L30" s="16" t="str">
        <f t="shared" si="15"/>
        <v>CSn014</v>
      </c>
      <c r="M30" s="16" t="str">
        <f t="shared" ca="1" si="16"/>
        <v>CS3014</v>
      </c>
      <c r="N30" s="227"/>
      <c r="O30" s="227"/>
      <c r="P30" s="315" t="s">
        <v>74</v>
      </c>
    </row>
    <row r="31" spans="1:63" x14ac:dyDescent="0.2">
      <c r="A31" s="147"/>
      <c r="B31" s="152" t="s">
        <v>46</v>
      </c>
      <c r="C31" s="230" t="s">
        <v>135</v>
      </c>
      <c r="D31" s="230" t="s">
        <v>135</v>
      </c>
      <c r="E31" s="315" t="str">
        <f t="shared" si="12"/>
        <v>-</v>
      </c>
      <c r="F31" s="230" t="s">
        <v>74</v>
      </c>
      <c r="G31" s="230"/>
      <c r="H31" s="230" t="s">
        <v>13</v>
      </c>
      <c r="I31" s="10">
        <f t="shared" si="17"/>
        <v>0</v>
      </c>
      <c r="J31" s="6">
        <f t="shared" si="13"/>
        <v>15</v>
      </c>
      <c r="K31" s="16" t="str">
        <f t="shared" si="14"/>
        <v>A4</v>
      </c>
      <c r="L31" s="16" t="str">
        <f t="shared" si="15"/>
        <v>CSn015</v>
      </c>
      <c r="M31" s="16" t="str">
        <f t="shared" ca="1" si="16"/>
        <v>CS3015</v>
      </c>
      <c r="N31" s="227"/>
      <c r="O31" s="227"/>
      <c r="P31" s="315" t="s">
        <v>74</v>
      </c>
    </row>
    <row r="32" spans="1:63" ht="16" thickBot="1" x14ac:dyDescent="0.25">
      <c r="A32" s="151"/>
      <c r="B32" s="136" t="s">
        <v>46</v>
      </c>
      <c r="C32" s="137" t="s">
        <v>135</v>
      </c>
      <c r="D32" s="137" t="s">
        <v>135</v>
      </c>
      <c r="E32" s="317" t="str">
        <f t="shared" si="12"/>
        <v>-</v>
      </c>
      <c r="F32" s="137" t="s">
        <v>74</v>
      </c>
      <c r="G32" s="137"/>
      <c r="H32" s="137" t="s">
        <v>13</v>
      </c>
      <c r="I32" s="12">
        <f t="shared" si="17"/>
        <v>0</v>
      </c>
      <c r="J32" s="7">
        <f t="shared" si="13"/>
        <v>16</v>
      </c>
      <c r="K32" s="19" t="str">
        <f t="shared" si="14"/>
        <v>A5</v>
      </c>
      <c r="L32" s="19" t="str">
        <f t="shared" si="15"/>
        <v>CSn016</v>
      </c>
      <c r="M32" s="19" t="str">
        <f t="shared" ca="1" si="16"/>
        <v>CS3016</v>
      </c>
      <c r="N32" s="228"/>
      <c r="O32" s="228"/>
      <c r="P32" s="317" t="s">
        <v>74</v>
      </c>
    </row>
    <row r="33" spans="1:63" x14ac:dyDescent="0.2">
      <c r="A33" s="144"/>
      <c r="B33" s="256" t="s">
        <v>50</v>
      </c>
      <c r="C33" s="311" t="s">
        <v>705</v>
      </c>
      <c r="D33" s="256" t="s">
        <v>713</v>
      </c>
      <c r="E33" s="320" t="str">
        <f t="shared" si="12"/>
        <v>CTC_OS_LEFT:OME:DBL:HEAD0:RED</v>
      </c>
      <c r="F33" s="256" t="s">
        <v>74</v>
      </c>
      <c r="G33" s="325" t="s">
        <v>783</v>
      </c>
      <c r="H33" s="256" t="s">
        <v>17</v>
      </c>
      <c r="I33" s="254">
        <f t="shared" si="17"/>
        <v>0</v>
      </c>
      <c r="J33" s="5">
        <f t="shared" si="13"/>
        <v>1</v>
      </c>
      <c r="K33" s="15" t="str">
        <f t="shared" si="14"/>
        <v>lo_DA0</v>
      </c>
      <c r="L33" s="15" t="str">
        <f t="shared" si="15"/>
        <v>CTn017</v>
      </c>
      <c r="M33" s="15" t="str">
        <f t="shared" ca="1" si="16"/>
        <v>CT3017</v>
      </c>
      <c r="N33" s="226" t="s">
        <v>656</v>
      </c>
      <c r="O33" s="226" t="s">
        <v>689</v>
      </c>
      <c r="P33" s="320" t="s">
        <v>722</v>
      </c>
    </row>
    <row r="34" spans="1:63" s="4" customFormat="1" ht="16" thickBot="1" x14ac:dyDescent="0.25">
      <c r="A34" s="145"/>
      <c r="B34" s="230" t="s">
        <v>50</v>
      </c>
      <c r="C34" s="230" t="s">
        <v>705</v>
      </c>
      <c r="D34" s="230" t="s">
        <v>713</v>
      </c>
      <c r="E34" s="315" t="str">
        <f t="shared" si="12"/>
        <v>CTC_OS_LEFT:OME:DBL:HEAD0:YEL</v>
      </c>
      <c r="F34" s="230" t="s">
        <v>74</v>
      </c>
      <c r="G34" s="230" t="s">
        <v>783</v>
      </c>
      <c r="H34" s="230" t="s">
        <v>17</v>
      </c>
      <c r="I34" s="10">
        <f t="shared" si="17"/>
        <v>0</v>
      </c>
      <c r="J34" s="6">
        <f t="shared" si="13"/>
        <v>2</v>
      </c>
      <c r="K34" s="16" t="str">
        <f t="shared" si="14"/>
        <v>lo_DA1</v>
      </c>
      <c r="L34" s="16" t="str">
        <f t="shared" si="15"/>
        <v>CTn018</v>
      </c>
      <c r="M34" s="16" t="str">
        <f t="shared" ca="1" si="16"/>
        <v>CT3018</v>
      </c>
      <c r="N34" s="227" t="s">
        <v>657</v>
      </c>
      <c r="O34" s="227" t="s">
        <v>692</v>
      </c>
      <c r="P34" s="315" t="s">
        <v>723</v>
      </c>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row>
    <row r="35" spans="1:63" x14ac:dyDescent="0.2">
      <c r="A35" s="145"/>
      <c r="B35" s="230" t="s">
        <v>50</v>
      </c>
      <c r="C35" s="230" t="s">
        <v>705</v>
      </c>
      <c r="D35" s="230" t="s">
        <v>713</v>
      </c>
      <c r="E35" s="315" t="str">
        <f t="shared" si="12"/>
        <v>CTC_OS_LEFT:OME:DBL:HEAD0:GRN</v>
      </c>
      <c r="F35" s="230" t="s">
        <v>74</v>
      </c>
      <c r="G35" s="230" t="s">
        <v>783</v>
      </c>
      <c r="H35" s="230" t="s">
        <v>17</v>
      </c>
      <c r="I35" s="10">
        <f t="shared" si="17"/>
        <v>0</v>
      </c>
      <c r="J35" s="6">
        <f t="shared" si="13"/>
        <v>3</v>
      </c>
      <c r="K35" s="16" t="str">
        <f t="shared" si="14"/>
        <v>lo_DA2</v>
      </c>
      <c r="L35" s="16" t="str">
        <f t="shared" si="15"/>
        <v>CTn019</v>
      </c>
      <c r="M35" s="16" t="str">
        <f t="shared" ca="1" si="16"/>
        <v>CT3019</v>
      </c>
      <c r="N35" s="227" t="s">
        <v>658</v>
      </c>
      <c r="O35" s="227" t="s">
        <v>693</v>
      </c>
      <c r="P35" s="315" t="s">
        <v>721</v>
      </c>
    </row>
    <row r="36" spans="1:63" x14ac:dyDescent="0.2">
      <c r="A36" s="145"/>
      <c r="B36" s="230" t="s">
        <v>50</v>
      </c>
      <c r="C36" s="230" t="s">
        <v>705</v>
      </c>
      <c r="D36" s="230" t="s">
        <v>713</v>
      </c>
      <c r="E36" s="315" t="str">
        <f t="shared" si="12"/>
        <v>CTC_OS_LEFT:OME:DBL:HEAD1:RED</v>
      </c>
      <c r="F36" s="230" t="s">
        <v>74</v>
      </c>
      <c r="G36" s="230" t="s">
        <v>783</v>
      </c>
      <c r="H36" s="230" t="s">
        <v>17</v>
      </c>
      <c r="I36" s="10">
        <f t="shared" si="17"/>
        <v>0</v>
      </c>
      <c r="J36" s="6">
        <f t="shared" si="13"/>
        <v>4</v>
      </c>
      <c r="K36" s="16" t="str">
        <f t="shared" si="14"/>
        <v>lo_DA3</v>
      </c>
      <c r="L36" s="16" t="str">
        <f t="shared" si="15"/>
        <v>CTn020</v>
      </c>
      <c r="M36" s="16" t="str">
        <f t="shared" ca="1" si="16"/>
        <v>CT3020</v>
      </c>
      <c r="N36" s="227" t="s">
        <v>659</v>
      </c>
      <c r="O36" s="227" t="s">
        <v>694</v>
      </c>
      <c r="P36" s="315" t="s">
        <v>719</v>
      </c>
    </row>
    <row r="37" spans="1:63" x14ac:dyDescent="0.2">
      <c r="A37" s="145"/>
      <c r="B37" s="230" t="s">
        <v>50</v>
      </c>
      <c r="C37" s="230" t="s">
        <v>705</v>
      </c>
      <c r="D37" s="230" t="s">
        <v>713</v>
      </c>
      <c r="E37" s="315" t="str">
        <f t="shared" si="12"/>
        <v>CTC_OS_LEFT:OME:DBL:HEAD1:YEL</v>
      </c>
      <c r="F37" s="230" t="s">
        <v>74</v>
      </c>
      <c r="G37" s="230" t="s">
        <v>783</v>
      </c>
      <c r="H37" s="230" t="s">
        <v>17</v>
      </c>
      <c r="I37" s="10">
        <f t="shared" si="17"/>
        <v>0</v>
      </c>
      <c r="J37" s="10">
        <f t="shared" si="13"/>
        <v>5</v>
      </c>
      <c r="K37" s="17" t="str">
        <f t="shared" si="14"/>
        <v>lo_DA4</v>
      </c>
      <c r="L37" s="17" t="str">
        <f t="shared" si="15"/>
        <v>CTn021</v>
      </c>
      <c r="M37" s="17" t="str">
        <f t="shared" ca="1" si="16"/>
        <v>CT3021</v>
      </c>
      <c r="N37" s="227" t="s">
        <v>660</v>
      </c>
      <c r="O37" s="227" t="s">
        <v>695</v>
      </c>
      <c r="P37" s="315" t="s">
        <v>720</v>
      </c>
    </row>
    <row r="38" spans="1:63" x14ac:dyDescent="0.2">
      <c r="A38" s="145"/>
      <c r="B38" s="230" t="s">
        <v>50</v>
      </c>
      <c r="C38" s="230" t="s">
        <v>705</v>
      </c>
      <c r="D38" s="230" t="s">
        <v>713</v>
      </c>
      <c r="E38" s="315" t="str">
        <f t="shared" si="12"/>
        <v>CTC_OS_LEFT:OME:DBL:HEAD1:GRN</v>
      </c>
      <c r="F38" s="230" t="s">
        <v>74</v>
      </c>
      <c r="G38" s="230" t="s">
        <v>783</v>
      </c>
      <c r="H38" s="230" t="s">
        <v>17</v>
      </c>
      <c r="I38" s="10">
        <f t="shared" si="17"/>
        <v>0</v>
      </c>
      <c r="J38" s="10">
        <f t="shared" si="13"/>
        <v>6</v>
      </c>
      <c r="K38" s="17" t="str">
        <f t="shared" si="14"/>
        <v>lo_DA5</v>
      </c>
      <c r="L38" s="17" t="str">
        <f t="shared" si="15"/>
        <v>CTn022</v>
      </c>
      <c r="M38" s="17" t="str">
        <f t="shared" ca="1" si="16"/>
        <v>CT3022</v>
      </c>
      <c r="N38" s="227" t="s">
        <v>661</v>
      </c>
      <c r="O38" s="227" t="s">
        <v>691</v>
      </c>
      <c r="P38" s="315" t="s">
        <v>718</v>
      </c>
    </row>
    <row r="39" spans="1:63" x14ac:dyDescent="0.2">
      <c r="A39" s="145"/>
      <c r="B39" s="230" t="s">
        <v>50</v>
      </c>
      <c r="C39" s="230" t="s">
        <v>705</v>
      </c>
      <c r="D39" s="230" t="s">
        <v>713</v>
      </c>
      <c r="E39" s="315" t="str">
        <f t="shared" si="12"/>
        <v>CTC_OS_LEFT:OMW:DBL:HEAD0:RED</v>
      </c>
      <c r="F39" s="230" t="s">
        <v>74</v>
      </c>
      <c r="G39" s="230" t="s">
        <v>783</v>
      </c>
      <c r="H39" s="230" t="s">
        <v>17</v>
      </c>
      <c r="I39" s="10">
        <f t="shared" si="17"/>
        <v>0</v>
      </c>
      <c r="J39" s="10">
        <f t="shared" si="13"/>
        <v>7</v>
      </c>
      <c r="K39" s="17" t="str">
        <f t="shared" si="14"/>
        <v>lo_DA6</v>
      </c>
      <c r="L39" s="17" t="str">
        <f t="shared" si="15"/>
        <v>CTn023</v>
      </c>
      <c r="M39" s="17" t="str">
        <f t="shared" ca="1" si="16"/>
        <v>CT3023</v>
      </c>
      <c r="N39" s="227" t="s">
        <v>662</v>
      </c>
      <c r="O39" s="227" t="s">
        <v>690</v>
      </c>
      <c r="P39" s="315" t="s">
        <v>734</v>
      </c>
    </row>
    <row r="40" spans="1:63" x14ac:dyDescent="0.2">
      <c r="A40" s="145"/>
      <c r="B40" s="230" t="s">
        <v>50</v>
      </c>
      <c r="C40" s="230" t="s">
        <v>705</v>
      </c>
      <c r="D40" s="230" t="s">
        <v>713</v>
      </c>
      <c r="E40" s="315" t="str">
        <f t="shared" si="12"/>
        <v>CTC_OS_LEFT:OMW:DBL:HEAD0:YEL</v>
      </c>
      <c r="F40" s="230" t="s">
        <v>74</v>
      </c>
      <c r="G40" s="230" t="s">
        <v>783</v>
      </c>
      <c r="H40" s="230" t="s">
        <v>17</v>
      </c>
      <c r="I40" s="10">
        <f t="shared" si="17"/>
        <v>0</v>
      </c>
      <c r="J40" s="10">
        <f t="shared" si="13"/>
        <v>8</v>
      </c>
      <c r="K40" s="17" t="str">
        <f t="shared" si="14"/>
        <v>lo_DA7</v>
      </c>
      <c r="L40" s="17" t="str">
        <f t="shared" si="15"/>
        <v>CTn024</v>
      </c>
      <c r="M40" s="17" t="str">
        <f t="shared" ca="1" si="16"/>
        <v>CT3024</v>
      </c>
      <c r="N40" s="227" t="s">
        <v>663</v>
      </c>
      <c r="O40" s="227" t="s">
        <v>696</v>
      </c>
      <c r="P40" s="315" t="s">
        <v>735</v>
      </c>
    </row>
    <row r="41" spans="1:63" x14ac:dyDescent="0.2">
      <c r="A41" s="145"/>
      <c r="B41" s="230" t="s">
        <v>50</v>
      </c>
      <c r="C41" s="230" t="s">
        <v>705</v>
      </c>
      <c r="D41" s="230" t="s">
        <v>713</v>
      </c>
      <c r="E41" s="315" t="str">
        <f t="shared" si="12"/>
        <v>CTC_OS_LEFT:OMW:DBL:HEAD0:GRN</v>
      </c>
      <c r="F41" s="230" t="s">
        <v>74</v>
      </c>
      <c r="G41" s="230" t="s">
        <v>783</v>
      </c>
      <c r="H41" s="230" t="s">
        <v>17</v>
      </c>
      <c r="I41" s="10">
        <f t="shared" si="17"/>
        <v>0</v>
      </c>
      <c r="J41" s="10">
        <f t="shared" si="13"/>
        <v>9</v>
      </c>
      <c r="K41" s="17" t="str">
        <f t="shared" si="14"/>
        <v>lo_DB0</v>
      </c>
      <c r="L41" s="17" t="str">
        <f t="shared" si="15"/>
        <v>CTn025</v>
      </c>
      <c r="M41" s="17" t="str">
        <f t="shared" ca="1" si="16"/>
        <v>CT3025</v>
      </c>
      <c r="N41" s="227" t="s">
        <v>664</v>
      </c>
      <c r="O41" s="227" t="s">
        <v>688</v>
      </c>
      <c r="P41" s="315" t="s">
        <v>733</v>
      </c>
    </row>
    <row r="42" spans="1:63" x14ac:dyDescent="0.2">
      <c r="A42" s="145"/>
      <c r="B42" s="230" t="s">
        <v>50</v>
      </c>
      <c r="C42" s="230" t="s">
        <v>705</v>
      </c>
      <c r="D42" s="230" t="s">
        <v>713</v>
      </c>
      <c r="E42" s="315" t="str">
        <f t="shared" si="12"/>
        <v>CTC_OS_LEFT:OMW:DBL:HEAD1:RED</v>
      </c>
      <c r="F42" s="230" t="s">
        <v>74</v>
      </c>
      <c r="G42" s="230" t="s">
        <v>783</v>
      </c>
      <c r="H42" s="230" t="s">
        <v>17</v>
      </c>
      <c r="I42" s="10">
        <f t="shared" si="17"/>
        <v>0</v>
      </c>
      <c r="J42" s="10">
        <f t="shared" si="13"/>
        <v>10</v>
      </c>
      <c r="K42" s="17" t="str">
        <f t="shared" si="14"/>
        <v>lo_DB1</v>
      </c>
      <c r="L42" s="17" t="str">
        <f t="shared" si="15"/>
        <v>CTn026</v>
      </c>
      <c r="M42" s="17" t="str">
        <f t="shared" ca="1" si="16"/>
        <v>CT3026</v>
      </c>
      <c r="N42" s="227" t="s">
        <v>665</v>
      </c>
      <c r="O42" s="227" t="s">
        <v>697</v>
      </c>
      <c r="P42" s="315" t="s">
        <v>731</v>
      </c>
    </row>
    <row r="43" spans="1:63" x14ac:dyDescent="0.2">
      <c r="A43" s="145"/>
      <c r="B43" s="230" t="s">
        <v>50</v>
      </c>
      <c r="C43" s="230" t="s">
        <v>705</v>
      </c>
      <c r="D43" s="230" t="s">
        <v>713</v>
      </c>
      <c r="E43" s="315" t="str">
        <f t="shared" si="12"/>
        <v>CTC_OS_LEFT:OMW:DBL:HEAD1:YEL</v>
      </c>
      <c r="F43" s="230" t="s">
        <v>74</v>
      </c>
      <c r="G43" s="230" t="s">
        <v>783</v>
      </c>
      <c r="H43" s="230" t="s">
        <v>17</v>
      </c>
      <c r="I43" s="10">
        <f t="shared" si="17"/>
        <v>0</v>
      </c>
      <c r="J43" s="10">
        <f t="shared" si="13"/>
        <v>11</v>
      </c>
      <c r="K43" s="17" t="str">
        <f t="shared" si="14"/>
        <v>lo_DB2</v>
      </c>
      <c r="L43" s="17" t="str">
        <f t="shared" si="15"/>
        <v>CTn027</v>
      </c>
      <c r="M43" s="17" t="str">
        <f t="shared" ca="1" si="16"/>
        <v>CT3027</v>
      </c>
      <c r="N43" s="227" t="s">
        <v>666</v>
      </c>
      <c r="O43" s="227" t="s">
        <v>689</v>
      </c>
      <c r="P43" s="315" t="s">
        <v>732</v>
      </c>
    </row>
    <row r="44" spans="1:63" x14ac:dyDescent="0.2">
      <c r="A44" s="145"/>
      <c r="B44" s="230" t="s">
        <v>50</v>
      </c>
      <c r="C44" s="230" t="s">
        <v>705</v>
      </c>
      <c r="D44" s="230" t="s">
        <v>713</v>
      </c>
      <c r="E44" s="315" t="str">
        <f t="shared" si="12"/>
        <v>CTC_OS_LEFT:OMW:DBL:HEAD1:GRN</v>
      </c>
      <c r="F44" s="230" t="s">
        <v>74</v>
      </c>
      <c r="G44" s="230" t="s">
        <v>783</v>
      </c>
      <c r="H44" s="230" t="s">
        <v>17</v>
      </c>
      <c r="I44" s="10">
        <f t="shared" si="17"/>
        <v>0</v>
      </c>
      <c r="J44" s="10">
        <f t="shared" si="13"/>
        <v>12</v>
      </c>
      <c r="K44" s="17" t="str">
        <f t="shared" si="14"/>
        <v>lo_DB3</v>
      </c>
      <c r="L44" s="17" t="str">
        <f t="shared" si="15"/>
        <v>CTn028</v>
      </c>
      <c r="M44" s="17" t="str">
        <f t="shared" ca="1" si="16"/>
        <v>CT3028</v>
      </c>
      <c r="N44" s="227" t="s">
        <v>667</v>
      </c>
      <c r="O44" s="227" t="s">
        <v>692</v>
      </c>
      <c r="P44" s="315" t="s">
        <v>730</v>
      </c>
    </row>
    <row r="45" spans="1:63" x14ac:dyDescent="0.2">
      <c r="A45" s="145"/>
      <c r="B45" s="230" t="s">
        <v>50</v>
      </c>
      <c r="C45" s="230" t="s">
        <v>135</v>
      </c>
      <c r="D45" s="230" t="s">
        <v>135</v>
      </c>
      <c r="E45" s="315" t="str">
        <f t="shared" si="12"/>
        <v>-</v>
      </c>
      <c r="F45" s="230" t="s">
        <v>74</v>
      </c>
      <c r="G45" s="230"/>
      <c r="H45" s="230" t="s">
        <v>17</v>
      </c>
      <c r="I45" s="10">
        <f t="shared" si="17"/>
        <v>0</v>
      </c>
      <c r="J45" s="10">
        <f t="shared" si="13"/>
        <v>13</v>
      </c>
      <c r="K45" s="17" t="str">
        <f t="shared" si="14"/>
        <v>lo_DB4</v>
      </c>
      <c r="L45" s="17" t="str">
        <f t="shared" si="15"/>
        <v>CTn029</v>
      </c>
      <c r="M45" s="17" t="str">
        <f t="shared" ca="1" si="16"/>
        <v>CT3029</v>
      </c>
      <c r="N45" s="227"/>
      <c r="O45" s="227"/>
      <c r="P45" s="315" t="s">
        <v>74</v>
      </c>
    </row>
    <row r="46" spans="1:63" x14ac:dyDescent="0.2">
      <c r="A46" s="145"/>
      <c r="B46" s="230" t="s">
        <v>50</v>
      </c>
      <c r="C46" s="230" t="s">
        <v>705</v>
      </c>
      <c r="D46" s="230" t="s">
        <v>713</v>
      </c>
      <c r="E46" s="315" t="str">
        <f t="shared" si="12"/>
        <v>CTC_OS_LEFT:IME:DWF:HEAD0:RED</v>
      </c>
      <c r="F46" s="230" t="s">
        <v>74</v>
      </c>
      <c r="G46" s="230" t="s">
        <v>783</v>
      </c>
      <c r="H46" s="230" t="s">
        <v>17</v>
      </c>
      <c r="I46" s="10">
        <f t="shared" si="17"/>
        <v>0</v>
      </c>
      <c r="J46" s="10">
        <f t="shared" si="13"/>
        <v>14</v>
      </c>
      <c r="K46" s="17" t="str">
        <f t="shared" si="14"/>
        <v>lo_DB5</v>
      </c>
      <c r="L46" s="17" t="str">
        <f t="shared" si="15"/>
        <v>CTn030</v>
      </c>
      <c r="M46" s="17" t="str">
        <f t="shared" ca="1" si="16"/>
        <v>CT3030</v>
      </c>
      <c r="N46" s="227" t="s">
        <v>668</v>
      </c>
      <c r="O46" s="227" t="s">
        <v>696</v>
      </c>
      <c r="P46" s="315" t="s">
        <v>768</v>
      </c>
    </row>
    <row r="47" spans="1:63" x14ac:dyDescent="0.2">
      <c r="A47" s="145"/>
      <c r="B47" s="230" t="s">
        <v>50</v>
      </c>
      <c r="C47" s="230" t="s">
        <v>705</v>
      </c>
      <c r="D47" s="230" t="s">
        <v>713</v>
      </c>
      <c r="E47" s="315" t="str">
        <f t="shared" si="12"/>
        <v>CTC_OS_LEFT:IME:DWF:HEAD0:YEL</v>
      </c>
      <c r="F47" s="230" t="s">
        <v>74</v>
      </c>
      <c r="G47" s="230" t="s">
        <v>783</v>
      </c>
      <c r="H47" s="230" t="s">
        <v>17</v>
      </c>
      <c r="I47" s="10">
        <f t="shared" si="17"/>
        <v>0</v>
      </c>
      <c r="J47" s="10">
        <f t="shared" si="13"/>
        <v>15</v>
      </c>
      <c r="K47" s="17" t="str">
        <f t="shared" si="14"/>
        <v>lo_DB6</v>
      </c>
      <c r="L47" s="17" t="str">
        <f t="shared" si="15"/>
        <v>CTn031</v>
      </c>
      <c r="M47" s="17" t="str">
        <f t="shared" ca="1" si="16"/>
        <v>CT3031</v>
      </c>
      <c r="N47" s="227" t="s">
        <v>669</v>
      </c>
      <c r="O47" s="227" t="s">
        <v>690</v>
      </c>
      <c r="P47" s="315" t="s">
        <v>769</v>
      </c>
    </row>
    <row r="48" spans="1:63" x14ac:dyDescent="0.2">
      <c r="A48" s="145"/>
      <c r="B48" s="230" t="s">
        <v>50</v>
      </c>
      <c r="C48" s="230" t="s">
        <v>705</v>
      </c>
      <c r="D48" s="230" t="s">
        <v>713</v>
      </c>
      <c r="E48" s="315" t="str">
        <f t="shared" si="12"/>
        <v>CTC_OS_LEFT:IME:DWF:HEAD0:GRN</v>
      </c>
      <c r="F48" s="230" t="s">
        <v>74</v>
      </c>
      <c r="G48" s="230" t="s">
        <v>783</v>
      </c>
      <c r="H48" s="230" t="s">
        <v>17</v>
      </c>
      <c r="I48" s="10">
        <f t="shared" si="17"/>
        <v>0</v>
      </c>
      <c r="J48" s="10">
        <f t="shared" si="13"/>
        <v>16</v>
      </c>
      <c r="K48" s="17" t="str">
        <f t="shared" si="14"/>
        <v>lo_DB7</v>
      </c>
      <c r="L48" s="17" t="str">
        <f t="shared" si="15"/>
        <v>CTn032</v>
      </c>
      <c r="M48" s="17" t="str">
        <f t="shared" ca="1" si="16"/>
        <v>CT3032</v>
      </c>
      <c r="N48" s="227" t="s">
        <v>670</v>
      </c>
      <c r="O48" s="227" t="s">
        <v>691</v>
      </c>
      <c r="P48" s="315" t="s">
        <v>767</v>
      </c>
    </row>
    <row r="49" spans="1:16" x14ac:dyDescent="0.2">
      <c r="A49" s="145"/>
      <c r="B49" s="230" t="s">
        <v>50</v>
      </c>
      <c r="C49" s="230" t="s">
        <v>705</v>
      </c>
      <c r="D49" s="230" t="s">
        <v>712</v>
      </c>
      <c r="E49" s="315" t="str">
        <f>IF(P49="-",P49,_xlfn.CONCAT(C49,":",P49))</f>
        <v>CTC_OS_LEFT:TO_SRC</v>
      </c>
      <c r="F49" s="230" t="s">
        <v>74</v>
      </c>
      <c r="G49" s="230" t="s">
        <v>782</v>
      </c>
      <c r="H49" s="230" t="s">
        <v>17</v>
      </c>
      <c r="I49" s="10">
        <f t="shared" si="17"/>
        <v>0</v>
      </c>
      <c r="J49" s="10">
        <f t="shared" si="13"/>
        <v>17</v>
      </c>
      <c r="K49" s="17" t="str">
        <f t="shared" si="14"/>
        <v>hi_DA0</v>
      </c>
      <c r="L49" s="17" t="str">
        <f t="shared" si="15"/>
        <v>CTn033</v>
      </c>
      <c r="M49" s="17" t="str">
        <f t="shared" ca="1" si="16"/>
        <v>CT3033</v>
      </c>
      <c r="N49" s="227" t="s">
        <v>804</v>
      </c>
      <c r="O49" s="227"/>
      <c r="P49" s="315" t="s">
        <v>795</v>
      </c>
    </row>
    <row r="50" spans="1:16" x14ac:dyDescent="0.2">
      <c r="A50" s="145"/>
      <c r="B50" s="230" t="s">
        <v>50</v>
      </c>
      <c r="C50" s="230" t="s">
        <v>705</v>
      </c>
      <c r="D50" s="230" t="s">
        <v>790</v>
      </c>
      <c r="E50" s="315" t="str">
        <f t="shared" ref="E50:E80" si="19">IF(P50="-",P50,_xlfn.CONCAT(C50,":",P50))</f>
        <v>CTC_OS_LEFT:TO_TULO</v>
      </c>
      <c r="F50" s="230" t="s">
        <v>74</v>
      </c>
      <c r="G50" s="230" t="s">
        <v>782</v>
      </c>
      <c r="H50" s="230" t="s">
        <v>17</v>
      </c>
      <c r="I50" s="10">
        <f t="shared" si="17"/>
        <v>0</v>
      </c>
      <c r="J50" s="10">
        <f t="shared" si="13"/>
        <v>18</v>
      </c>
      <c r="K50" s="17" t="str">
        <f t="shared" si="14"/>
        <v>hi_DA1</v>
      </c>
      <c r="L50" s="17" t="str">
        <f t="shared" si="15"/>
        <v>CTn034</v>
      </c>
      <c r="M50" s="17" t="str">
        <f t="shared" ca="1" si="16"/>
        <v>CT3034</v>
      </c>
      <c r="N50" s="227" t="s">
        <v>800</v>
      </c>
      <c r="O50" s="227"/>
      <c r="P50" s="315" t="s">
        <v>796</v>
      </c>
    </row>
    <row r="51" spans="1:16" x14ac:dyDescent="0.2">
      <c r="A51" s="145"/>
      <c r="B51" s="230" t="s">
        <v>50</v>
      </c>
      <c r="C51" s="230" t="s">
        <v>135</v>
      </c>
      <c r="D51" s="230" t="s">
        <v>135</v>
      </c>
      <c r="E51" s="315" t="str">
        <f t="shared" si="19"/>
        <v>-</v>
      </c>
      <c r="F51" s="230" t="s">
        <v>74</v>
      </c>
      <c r="G51" s="230"/>
      <c r="H51" s="230" t="s">
        <v>17</v>
      </c>
      <c r="I51" s="10">
        <f t="shared" si="17"/>
        <v>0</v>
      </c>
      <c r="J51" s="10">
        <f t="shared" si="13"/>
        <v>19</v>
      </c>
      <c r="K51" s="17" t="str">
        <f t="shared" si="14"/>
        <v>hi_DA2</v>
      </c>
      <c r="L51" s="17" t="str">
        <f t="shared" si="15"/>
        <v>CTn035</v>
      </c>
      <c r="M51" s="17" t="str">
        <f t="shared" ca="1" si="16"/>
        <v>CT3035</v>
      </c>
      <c r="N51" s="227"/>
      <c r="O51" s="227"/>
      <c r="P51" s="315" t="s">
        <v>74</v>
      </c>
    </row>
    <row r="52" spans="1:16" x14ac:dyDescent="0.2">
      <c r="A52" s="145"/>
      <c r="B52" s="230" t="s">
        <v>50</v>
      </c>
      <c r="C52" s="230" t="s">
        <v>135</v>
      </c>
      <c r="D52" s="230" t="s">
        <v>135</v>
      </c>
      <c r="E52" s="315" t="str">
        <f t="shared" si="19"/>
        <v>-</v>
      </c>
      <c r="F52" s="230" t="s">
        <v>74</v>
      </c>
      <c r="G52" s="230"/>
      <c r="H52" s="230" t="s">
        <v>17</v>
      </c>
      <c r="I52" s="10">
        <f t="shared" si="17"/>
        <v>0</v>
      </c>
      <c r="J52" s="10">
        <f t="shared" si="13"/>
        <v>20</v>
      </c>
      <c r="K52" s="17" t="str">
        <f t="shared" si="14"/>
        <v>hi_DA3</v>
      </c>
      <c r="L52" s="17" t="str">
        <f t="shared" si="15"/>
        <v>CTn036</v>
      </c>
      <c r="M52" s="17" t="str">
        <f t="shared" ca="1" si="16"/>
        <v>CT3036</v>
      </c>
      <c r="N52" s="227"/>
      <c r="O52" s="227"/>
      <c r="P52" s="315" t="s">
        <v>74</v>
      </c>
    </row>
    <row r="53" spans="1:16" x14ac:dyDescent="0.2">
      <c r="A53" s="145"/>
      <c r="B53" s="230" t="s">
        <v>50</v>
      </c>
      <c r="C53" s="230" t="s">
        <v>135</v>
      </c>
      <c r="D53" s="230" t="s">
        <v>135</v>
      </c>
      <c r="E53" s="315" t="str">
        <f t="shared" si="19"/>
        <v>-</v>
      </c>
      <c r="F53" s="230" t="s">
        <v>74</v>
      </c>
      <c r="G53" s="230"/>
      <c r="H53" s="230" t="s">
        <v>17</v>
      </c>
      <c r="I53" s="10">
        <f t="shared" si="17"/>
        <v>0</v>
      </c>
      <c r="J53" s="10">
        <f t="shared" si="13"/>
        <v>21</v>
      </c>
      <c r="K53" s="17" t="str">
        <f t="shared" si="14"/>
        <v>hi_DA4</v>
      </c>
      <c r="L53" s="17" t="str">
        <f t="shared" si="15"/>
        <v>CSn037</v>
      </c>
      <c r="M53" s="17" t="str">
        <f t="shared" ca="1" si="16"/>
        <v>CS3037</v>
      </c>
      <c r="N53" s="227"/>
      <c r="O53" s="227"/>
      <c r="P53" s="315" t="s">
        <v>74</v>
      </c>
    </row>
    <row r="54" spans="1:16" x14ac:dyDescent="0.2">
      <c r="A54" s="145"/>
      <c r="B54" s="230" t="s">
        <v>50</v>
      </c>
      <c r="C54" s="230" t="s">
        <v>135</v>
      </c>
      <c r="D54" s="230" t="s">
        <v>135</v>
      </c>
      <c r="E54" s="315" t="str">
        <f t="shared" si="19"/>
        <v>-</v>
      </c>
      <c r="F54" s="230" t="s">
        <v>74</v>
      </c>
      <c r="G54" s="230"/>
      <c r="H54" s="230" t="s">
        <v>17</v>
      </c>
      <c r="I54" s="10">
        <f t="shared" si="17"/>
        <v>0</v>
      </c>
      <c r="J54" s="10">
        <f t="shared" si="13"/>
        <v>22</v>
      </c>
      <c r="K54" s="17" t="str">
        <f t="shared" si="14"/>
        <v>hi_DA5</v>
      </c>
      <c r="L54" s="17" t="str">
        <f t="shared" si="15"/>
        <v>CTn038</v>
      </c>
      <c r="M54" s="17" t="str">
        <f t="shared" ca="1" si="16"/>
        <v>CT3038</v>
      </c>
      <c r="N54" s="227"/>
      <c r="O54" s="227"/>
      <c r="P54" s="315" t="s">
        <v>74</v>
      </c>
    </row>
    <row r="55" spans="1:16" x14ac:dyDescent="0.2">
      <c r="A55" s="145"/>
      <c r="B55" s="230" t="s">
        <v>50</v>
      </c>
      <c r="C55" s="230" t="s">
        <v>135</v>
      </c>
      <c r="D55" s="230" t="s">
        <v>135</v>
      </c>
      <c r="E55" s="315" t="str">
        <f t="shared" si="19"/>
        <v>-</v>
      </c>
      <c r="F55" s="230" t="s">
        <v>74</v>
      </c>
      <c r="G55" s="230"/>
      <c r="H55" s="230" t="s">
        <v>17</v>
      </c>
      <c r="I55" s="10">
        <f t="shared" si="17"/>
        <v>0</v>
      </c>
      <c r="J55" s="10">
        <f t="shared" si="13"/>
        <v>23</v>
      </c>
      <c r="K55" s="17" t="str">
        <f t="shared" si="14"/>
        <v>hi_DA6</v>
      </c>
      <c r="L55" s="17" t="str">
        <f t="shared" si="15"/>
        <v>CTn039</v>
      </c>
      <c r="M55" s="17" t="str">
        <f t="shared" ca="1" si="16"/>
        <v>CT3039</v>
      </c>
      <c r="N55" s="227"/>
      <c r="O55" s="227"/>
      <c r="P55" s="315" t="s">
        <v>74</v>
      </c>
    </row>
    <row r="56" spans="1:16" x14ac:dyDescent="0.2">
      <c r="A56" s="145"/>
      <c r="B56" s="230" t="s">
        <v>50</v>
      </c>
      <c r="C56" s="230" t="s">
        <v>135</v>
      </c>
      <c r="D56" s="230" t="s">
        <v>135</v>
      </c>
      <c r="E56" s="315" t="str">
        <f t="shared" si="19"/>
        <v>-</v>
      </c>
      <c r="F56" s="230" t="s">
        <v>74</v>
      </c>
      <c r="G56" s="230"/>
      <c r="H56" s="230" t="s">
        <v>17</v>
      </c>
      <c r="I56" s="10">
        <f t="shared" si="17"/>
        <v>0</v>
      </c>
      <c r="J56" s="10">
        <f t="shared" si="13"/>
        <v>24</v>
      </c>
      <c r="K56" s="17" t="str">
        <f t="shared" si="14"/>
        <v>hi_DA7</v>
      </c>
      <c r="L56" s="17" t="str">
        <f t="shared" si="15"/>
        <v>CTn040</v>
      </c>
      <c r="M56" s="17" t="str">
        <f t="shared" ca="1" si="16"/>
        <v>CT3040</v>
      </c>
      <c r="N56" s="227"/>
      <c r="O56" s="227"/>
      <c r="P56" s="315" t="s">
        <v>74</v>
      </c>
    </row>
    <row r="57" spans="1:16" x14ac:dyDescent="0.2">
      <c r="A57" s="145"/>
      <c r="B57" s="230" t="s">
        <v>50</v>
      </c>
      <c r="C57" s="230" t="s">
        <v>135</v>
      </c>
      <c r="D57" s="230" t="s">
        <v>135</v>
      </c>
      <c r="E57" s="315" t="str">
        <f t="shared" si="19"/>
        <v>-</v>
      </c>
      <c r="F57" s="230" t="s">
        <v>74</v>
      </c>
      <c r="G57" s="230"/>
      <c r="H57" s="230" t="s">
        <v>17</v>
      </c>
      <c r="I57" s="10">
        <f t="shared" si="17"/>
        <v>0</v>
      </c>
      <c r="J57" s="10">
        <f t="shared" si="13"/>
        <v>25</v>
      </c>
      <c r="K57" s="17" t="str">
        <f t="shared" si="14"/>
        <v>hi_DB0</v>
      </c>
      <c r="L57" s="17" t="str">
        <f t="shared" si="15"/>
        <v>CTn041</v>
      </c>
      <c r="M57" s="17" t="str">
        <f t="shared" ca="1" si="16"/>
        <v>CT3041</v>
      </c>
      <c r="N57" s="227"/>
      <c r="O57" s="227"/>
      <c r="P57" s="315" t="s">
        <v>74</v>
      </c>
    </row>
    <row r="58" spans="1:16" x14ac:dyDescent="0.2">
      <c r="A58" s="145"/>
      <c r="B58" s="230" t="s">
        <v>50</v>
      </c>
      <c r="C58" s="230" t="s">
        <v>135</v>
      </c>
      <c r="D58" s="230" t="s">
        <v>135</v>
      </c>
      <c r="E58" s="315" t="str">
        <f t="shared" si="19"/>
        <v>-</v>
      </c>
      <c r="F58" s="230" t="s">
        <v>74</v>
      </c>
      <c r="G58" s="230"/>
      <c r="H58" s="230" t="s">
        <v>17</v>
      </c>
      <c r="I58" s="10">
        <f t="shared" si="17"/>
        <v>0</v>
      </c>
      <c r="J58" s="10">
        <f t="shared" si="13"/>
        <v>26</v>
      </c>
      <c r="K58" s="17" t="str">
        <f t="shared" si="14"/>
        <v>hi_DB1</v>
      </c>
      <c r="L58" s="17" t="str">
        <f t="shared" si="15"/>
        <v>CTn042</v>
      </c>
      <c r="M58" s="17" t="str">
        <f t="shared" ca="1" si="16"/>
        <v>CT3042</v>
      </c>
      <c r="N58" s="227"/>
      <c r="O58" s="227"/>
      <c r="P58" s="315" t="s">
        <v>74</v>
      </c>
    </row>
    <row r="59" spans="1:16" x14ac:dyDescent="0.2">
      <c r="A59" s="145"/>
      <c r="B59" s="230" t="s">
        <v>50</v>
      </c>
      <c r="C59" s="230" t="s">
        <v>135</v>
      </c>
      <c r="D59" s="230" t="s">
        <v>135</v>
      </c>
      <c r="E59" s="315" t="str">
        <f t="shared" si="19"/>
        <v>-</v>
      </c>
      <c r="F59" s="230" t="s">
        <v>74</v>
      </c>
      <c r="G59" s="230"/>
      <c r="H59" s="230" t="s">
        <v>17</v>
      </c>
      <c r="I59" s="10">
        <f t="shared" si="17"/>
        <v>0</v>
      </c>
      <c r="J59" s="10">
        <f t="shared" si="13"/>
        <v>27</v>
      </c>
      <c r="K59" s="17" t="str">
        <f t="shared" si="14"/>
        <v>hi_DB2</v>
      </c>
      <c r="L59" s="17" t="str">
        <f t="shared" si="15"/>
        <v>CTn043</v>
      </c>
      <c r="M59" s="17" t="str">
        <f t="shared" ca="1" si="16"/>
        <v>CT3043</v>
      </c>
      <c r="N59" s="227"/>
      <c r="O59" s="227"/>
      <c r="P59" s="315" t="s">
        <v>74</v>
      </c>
    </row>
    <row r="60" spans="1:16" x14ac:dyDescent="0.2">
      <c r="A60" s="145"/>
      <c r="B60" s="230" t="s">
        <v>50</v>
      </c>
      <c r="C60" s="230" t="s">
        <v>135</v>
      </c>
      <c r="D60" s="230" t="s">
        <v>135</v>
      </c>
      <c r="E60" s="315" t="str">
        <f t="shared" si="19"/>
        <v>-</v>
      </c>
      <c r="F60" s="230" t="s">
        <v>74</v>
      </c>
      <c r="G60" s="230"/>
      <c r="H60" s="230" t="s">
        <v>17</v>
      </c>
      <c r="I60" s="10">
        <f t="shared" si="17"/>
        <v>0</v>
      </c>
      <c r="J60" s="10">
        <f t="shared" si="13"/>
        <v>28</v>
      </c>
      <c r="K60" s="17" t="str">
        <f t="shared" si="14"/>
        <v>hi_DB3</v>
      </c>
      <c r="L60" s="17" t="str">
        <f t="shared" si="15"/>
        <v>CTn044</v>
      </c>
      <c r="M60" s="17" t="str">
        <f t="shared" ca="1" si="16"/>
        <v>CT3044</v>
      </c>
      <c r="N60" s="227"/>
      <c r="O60" s="227"/>
      <c r="P60" s="315" t="s">
        <v>74</v>
      </c>
    </row>
    <row r="61" spans="1:16" x14ac:dyDescent="0.2">
      <c r="A61" s="145"/>
      <c r="B61" s="230" t="s">
        <v>50</v>
      </c>
      <c r="C61" s="230" t="s">
        <v>135</v>
      </c>
      <c r="D61" s="230" t="s">
        <v>135</v>
      </c>
      <c r="E61" s="315" t="str">
        <f t="shared" si="19"/>
        <v>-</v>
      </c>
      <c r="F61" s="230" t="s">
        <v>74</v>
      </c>
      <c r="G61" s="230"/>
      <c r="H61" s="230" t="s">
        <v>17</v>
      </c>
      <c r="I61" s="10">
        <f t="shared" si="17"/>
        <v>0</v>
      </c>
      <c r="J61" s="10">
        <f t="shared" si="13"/>
        <v>29</v>
      </c>
      <c r="K61" s="17" t="str">
        <f t="shared" si="14"/>
        <v>hi_DB4</v>
      </c>
      <c r="L61" s="17" t="str">
        <f t="shared" si="15"/>
        <v>CTn045</v>
      </c>
      <c r="M61" s="17" t="str">
        <f t="shared" ca="1" si="16"/>
        <v>CT3045</v>
      </c>
      <c r="N61" s="227"/>
      <c r="O61" s="227"/>
      <c r="P61" s="315" t="s">
        <v>74</v>
      </c>
    </row>
    <row r="62" spans="1:16" x14ac:dyDescent="0.2">
      <c r="A62" s="145"/>
      <c r="B62" s="230" t="s">
        <v>50</v>
      </c>
      <c r="C62" s="230" t="s">
        <v>135</v>
      </c>
      <c r="D62" s="230" t="s">
        <v>135</v>
      </c>
      <c r="E62" s="315" t="str">
        <f t="shared" si="19"/>
        <v>-</v>
      </c>
      <c r="F62" s="230" t="s">
        <v>74</v>
      </c>
      <c r="G62" s="230"/>
      <c r="H62" s="230" t="s">
        <v>17</v>
      </c>
      <c r="I62" s="10">
        <f t="shared" si="17"/>
        <v>0</v>
      </c>
      <c r="J62" s="10">
        <f t="shared" si="13"/>
        <v>30</v>
      </c>
      <c r="K62" s="17" t="str">
        <f t="shared" si="14"/>
        <v>hi_DB5</v>
      </c>
      <c r="L62" s="17" t="str">
        <f t="shared" si="15"/>
        <v>CTn046</v>
      </c>
      <c r="M62" s="17" t="str">
        <f t="shared" ca="1" si="16"/>
        <v>CT3046</v>
      </c>
      <c r="N62" s="227"/>
      <c r="O62" s="227"/>
      <c r="P62" s="315" t="s">
        <v>74</v>
      </c>
    </row>
    <row r="63" spans="1:16" x14ac:dyDescent="0.2">
      <c r="A63" s="145"/>
      <c r="B63" s="230" t="s">
        <v>50</v>
      </c>
      <c r="C63" s="230" t="s">
        <v>135</v>
      </c>
      <c r="D63" s="230" t="s">
        <v>135</v>
      </c>
      <c r="E63" s="315" t="str">
        <f t="shared" si="19"/>
        <v>-</v>
      </c>
      <c r="F63" s="230" t="s">
        <v>74</v>
      </c>
      <c r="G63" s="230"/>
      <c r="H63" s="230" t="s">
        <v>17</v>
      </c>
      <c r="I63" s="10">
        <f t="shared" si="17"/>
        <v>0</v>
      </c>
      <c r="J63" s="10">
        <f t="shared" si="13"/>
        <v>31</v>
      </c>
      <c r="K63" s="17" t="str">
        <f t="shared" si="14"/>
        <v>hi_DB6</v>
      </c>
      <c r="L63" s="17" t="str">
        <f t="shared" si="15"/>
        <v>CTn047</v>
      </c>
      <c r="M63" s="17" t="str">
        <f t="shared" ca="1" si="16"/>
        <v>CT3047</v>
      </c>
      <c r="N63" s="227"/>
      <c r="O63" s="227"/>
      <c r="P63" s="315" t="s">
        <v>74</v>
      </c>
    </row>
    <row r="64" spans="1:16" ht="16" thickBot="1" x14ac:dyDescent="0.25">
      <c r="A64" s="146"/>
      <c r="B64" s="137" t="s">
        <v>50</v>
      </c>
      <c r="C64" s="137" t="s">
        <v>135</v>
      </c>
      <c r="D64" s="137" t="s">
        <v>135</v>
      </c>
      <c r="E64" s="317" t="str">
        <f t="shared" si="19"/>
        <v>-</v>
      </c>
      <c r="F64" s="137" t="s">
        <v>74</v>
      </c>
      <c r="G64" s="137"/>
      <c r="H64" s="137" t="s">
        <v>17</v>
      </c>
      <c r="I64" s="12">
        <f t="shared" si="17"/>
        <v>0</v>
      </c>
      <c r="J64" s="12">
        <f t="shared" si="13"/>
        <v>32</v>
      </c>
      <c r="K64" s="18" t="str">
        <f t="shared" si="14"/>
        <v>hi_DB7</v>
      </c>
      <c r="L64" s="18" t="str">
        <f t="shared" si="15"/>
        <v>CTn048</v>
      </c>
      <c r="M64" s="18" t="str">
        <f t="shared" ca="1" si="16"/>
        <v>CT3048</v>
      </c>
      <c r="N64" s="228"/>
      <c r="O64" s="228"/>
      <c r="P64" s="317" t="s">
        <v>74</v>
      </c>
    </row>
    <row r="65" spans="1:16" x14ac:dyDescent="0.2">
      <c r="A65" s="149"/>
      <c r="B65" s="231" t="s">
        <v>50</v>
      </c>
      <c r="C65" s="232" t="s">
        <v>135</v>
      </c>
      <c r="D65" s="232" t="s">
        <v>135</v>
      </c>
      <c r="E65" s="318" t="str">
        <f t="shared" si="19"/>
        <v>-</v>
      </c>
      <c r="F65" s="232" t="s">
        <v>74</v>
      </c>
      <c r="G65" s="325"/>
      <c r="H65" s="232" t="s">
        <v>74</v>
      </c>
      <c r="I65" s="29">
        <f t="shared" si="17"/>
        <v>0</v>
      </c>
      <c r="J65" s="11">
        <v>1</v>
      </c>
      <c r="K65" s="20" t="e">
        <f t="shared" si="14"/>
        <v>#N/A</v>
      </c>
      <c r="L65" s="20" t="e">
        <f t="shared" si="15"/>
        <v>#N/A</v>
      </c>
      <c r="M65" s="20" t="e">
        <f t="shared" ca="1" si="16"/>
        <v>#N/A</v>
      </c>
      <c r="N65" s="229"/>
      <c r="O65" s="229"/>
      <c r="P65" s="318" t="s">
        <v>74</v>
      </c>
    </row>
    <row r="66" spans="1:16" x14ac:dyDescent="0.2">
      <c r="A66" s="147"/>
      <c r="B66" s="152" t="s">
        <v>50</v>
      </c>
      <c r="C66" s="230" t="s">
        <v>135</v>
      </c>
      <c r="D66" s="230" t="s">
        <v>135</v>
      </c>
      <c r="E66" s="315" t="str">
        <f t="shared" si="19"/>
        <v>-</v>
      </c>
      <c r="F66" s="230" t="s">
        <v>74</v>
      </c>
      <c r="G66" s="230"/>
      <c r="H66" s="230" t="s">
        <v>74</v>
      </c>
      <c r="I66" s="10">
        <f t="shared" si="17"/>
        <v>0</v>
      </c>
      <c r="J66" s="6">
        <f t="shared" ref="J66:J96" si="20">IF(AND(H66=H65,B66=B65), J65+1,1)</f>
        <v>2</v>
      </c>
      <c r="K66" s="16" t="e">
        <f t="shared" si="14"/>
        <v>#N/A</v>
      </c>
      <c r="L66" s="16" t="e">
        <f t="shared" si="15"/>
        <v>#N/A</v>
      </c>
      <c r="M66" s="16" t="e">
        <f t="shared" ca="1" si="16"/>
        <v>#N/A</v>
      </c>
      <c r="N66" s="227"/>
      <c r="O66" s="227"/>
      <c r="P66" s="315" t="s">
        <v>74</v>
      </c>
    </row>
    <row r="67" spans="1:16" x14ac:dyDescent="0.2">
      <c r="A67" s="147"/>
      <c r="B67" s="152" t="s">
        <v>50</v>
      </c>
      <c r="C67" s="230" t="s">
        <v>135</v>
      </c>
      <c r="D67" s="230" t="s">
        <v>135</v>
      </c>
      <c r="E67" s="315" t="str">
        <f t="shared" si="19"/>
        <v>-</v>
      </c>
      <c r="F67" s="230" t="s">
        <v>74</v>
      </c>
      <c r="G67" s="230"/>
      <c r="H67" s="230" t="s">
        <v>74</v>
      </c>
      <c r="I67" s="10">
        <f t="shared" si="17"/>
        <v>0</v>
      </c>
      <c r="J67" s="6">
        <f t="shared" si="20"/>
        <v>3</v>
      </c>
      <c r="K67" s="16" t="e">
        <f t="shared" si="14"/>
        <v>#N/A</v>
      </c>
      <c r="L67" s="16" t="e">
        <f t="shared" si="15"/>
        <v>#N/A</v>
      </c>
      <c r="M67" s="16" t="e">
        <f t="shared" ca="1" si="16"/>
        <v>#N/A</v>
      </c>
      <c r="N67" s="227"/>
      <c r="O67" s="227"/>
      <c r="P67" s="315" t="s">
        <v>74</v>
      </c>
    </row>
    <row r="68" spans="1:16" x14ac:dyDescent="0.2">
      <c r="A68" s="147"/>
      <c r="B68" s="152" t="s">
        <v>50</v>
      </c>
      <c r="C68" s="230" t="s">
        <v>135</v>
      </c>
      <c r="D68" s="230" t="s">
        <v>135</v>
      </c>
      <c r="E68" s="315" t="str">
        <f t="shared" si="19"/>
        <v>-</v>
      </c>
      <c r="F68" s="230" t="s">
        <v>74</v>
      </c>
      <c r="G68" s="230"/>
      <c r="H68" s="230" t="s">
        <v>74</v>
      </c>
      <c r="I68" s="10">
        <f t="shared" si="17"/>
        <v>0</v>
      </c>
      <c r="J68" s="6">
        <f t="shared" si="20"/>
        <v>4</v>
      </c>
      <c r="K68" s="16" t="e">
        <f t="shared" si="14"/>
        <v>#N/A</v>
      </c>
      <c r="L68" s="16" t="e">
        <f t="shared" si="15"/>
        <v>#N/A</v>
      </c>
      <c r="M68" s="16" t="e">
        <f t="shared" ca="1" si="16"/>
        <v>#N/A</v>
      </c>
      <c r="N68" s="227"/>
      <c r="O68" s="227"/>
      <c r="P68" s="315" t="s">
        <v>74</v>
      </c>
    </row>
    <row r="69" spans="1:16" x14ac:dyDescent="0.2">
      <c r="A69" s="147"/>
      <c r="B69" s="152" t="s">
        <v>50</v>
      </c>
      <c r="C69" s="230" t="s">
        <v>135</v>
      </c>
      <c r="D69" s="230" t="s">
        <v>135</v>
      </c>
      <c r="E69" s="315" t="str">
        <f t="shared" si="19"/>
        <v>-</v>
      </c>
      <c r="F69" s="230" t="s">
        <v>74</v>
      </c>
      <c r="G69" s="230"/>
      <c r="H69" s="230" t="s">
        <v>74</v>
      </c>
      <c r="I69" s="10">
        <f t="shared" si="17"/>
        <v>0</v>
      </c>
      <c r="J69" s="10">
        <f t="shared" si="20"/>
        <v>5</v>
      </c>
      <c r="K69" s="17" t="e">
        <f t="shared" si="14"/>
        <v>#N/A</v>
      </c>
      <c r="L69" s="17" t="e">
        <f t="shared" si="15"/>
        <v>#N/A</v>
      </c>
      <c r="M69" s="17" t="e">
        <f t="shared" ca="1" si="16"/>
        <v>#N/A</v>
      </c>
      <c r="N69" s="227"/>
      <c r="O69" s="227"/>
      <c r="P69" s="315" t="s">
        <v>74</v>
      </c>
    </row>
    <row r="70" spans="1:16" x14ac:dyDescent="0.2">
      <c r="A70" s="147"/>
      <c r="B70" s="152" t="s">
        <v>50</v>
      </c>
      <c r="C70" s="230" t="s">
        <v>135</v>
      </c>
      <c r="D70" s="230" t="s">
        <v>135</v>
      </c>
      <c r="E70" s="315" t="str">
        <f t="shared" si="19"/>
        <v>-</v>
      </c>
      <c r="F70" s="230" t="s">
        <v>74</v>
      </c>
      <c r="G70" s="230"/>
      <c r="H70" s="230" t="s">
        <v>74</v>
      </c>
      <c r="I70" s="10">
        <f t="shared" si="17"/>
        <v>0</v>
      </c>
      <c r="J70" s="10">
        <f t="shared" si="20"/>
        <v>6</v>
      </c>
      <c r="K70" s="17" t="e">
        <f t="shared" si="14"/>
        <v>#N/A</v>
      </c>
      <c r="L70" s="17" t="e">
        <f t="shared" si="15"/>
        <v>#N/A</v>
      </c>
      <c r="M70" s="17" t="e">
        <f t="shared" ca="1" si="16"/>
        <v>#N/A</v>
      </c>
      <c r="N70" s="227"/>
      <c r="O70" s="227"/>
      <c r="P70" s="315" t="s">
        <v>74</v>
      </c>
    </row>
    <row r="71" spans="1:16" x14ac:dyDescent="0.2">
      <c r="A71" s="147"/>
      <c r="B71" s="152" t="s">
        <v>50</v>
      </c>
      <c r="C71" s="230" t="s">
        <v>135</v>
      </c>
      <c r="D71" s="230" t="s">
        <v>135</v>
      </c>
      <c r="E71" s="315" t="str">
        <f t="shared" si="19"/>
        <v>-</v>
      </c>
      <c r="F71" s="230" t="s">
        <v>74</v>
      </c>
      <c r="G71" s="230"/>
      <c r="H71" s="230" t="s">
        <v>74</v>
      </c>
      <c r="I71" s="10">
        <f t="shared" si="17"/>
        <v>0</v>
      </c>
      <c r="J71" s="10">
        <f t="shared" si="20"/>
        <v>7</v>
      </c>
      <c r="K71" s="17" t="e">
        <f t="shared" si="14"/>
        <v>#N/A</v>
      </c>
      <c r="L71" s="17" t="e">
        <f t="shared" si="15"/>
        <v>#N/A</v>
      </c>
      <c r="M71" s="17" t="e">
        <f t="shared" ca="1" si="16"/>
        <v>#N/A</v>
      </c>
      <c r="N71" s="227"/>
      <c r="O71" s="227"/>
      <c r="P71" s="315" t="s">
        <v>74</v>
      </c>
    </row>
    <row r="72" spans="1:16" x14ac:dyDescent="0.2">
      <c r="A72" s="147"/>
      <c r="B72" s="152" t="s">
        <v>50</v>
      </c>
      <c r="C72" s="230" t="s">
        <v>135</v>
      </c>
      <c r="D72" s="230" t="s">
        <v>135</v>
      </c>
      <c r="E72" s="315" t="str">
        <f t="shared" si="19"/>
        <v>-</v>
      </c>
      <c r="F72" s="230" t="s">
        <v>74</v>
      </c>
      <c r="G72" s="230"/>
      <c r="H72" s="230" t="s">
        <v>74</v>
      </c>
      <c r="I72" s="10">
        <f t="shared" si="17"/>
        <v>0</v>
      </c>
      <c r="J72" s="10">
        <f t="shared" si="20"/>
        <v>8</v>
      </c>
      <c r="K72" s="17" t="e">
        <f t="shared" si="14"/>
        <v>#N/A</v>
      </c>
      <c r="L72" s="17" t="e">
        <f t="shared" si="15"/>
        <v>#N/A</v>
      </c>
      <c r="M72" s="17" t="e">
        <f t="shared" ca="1" si="16"/>
        <v>#N/A</v>
      </c>
      <c r="N72" s="227"/>
      <c r="O72" s="227"/>
      <c r="P72" s="315" t="s">
        <v>74</v>
      </c>
    </row>
    <row r="73" spans="1:16" x14ac:dyDescent="0.2">
      <c r="A73" s="147"/>
      <c r="B73" s="152" t="s">
        <v>50</v>
      </c>
      <c r="C73" s="230" t="s">
        <v>135</v>
      </c>
      <c r="D73" s="230" t="s">
        <v>135</v>
      </c>
      <c r="E73" s="315" t="str">
        <f t="shared" si="19"/>
        <v>-</v>
      </c>
      <c r="F73" s="230" t="s">
        <v>74</v>
      </c>
      <c r="G73" s="230"/>
      <c r="H73" s="230" t="s">
        <v>74</v>
      </c>
      <c r="I73" s="10">
        <f t="shared" si="17"/>
        <v>0</v>
      </c>
      <c r="J73" s="10">
        <f t="shared" si="20"/>
        <v>9</v>
      </c>
      <c r="K73" s="17" t="e">
        <f t="shared" si="14"/>
        <v>#N/A</v>
      </c>
      <c r="L73" s="17" t="e">
        <f t="shared" si="15"/>
        <v>#N/A</v>
      </c>
      <c r="M73" s="17" t="e">
        <f t="shared" ca="1" si="16"/>
        <v>#N/A</v>
      </c>
      <c r="N73" s="227"/>
      <c r="O73" s="227"/>
      <c r="P73" s="315" t="s">
        <v>74</v>
      </c>
    </row>
    <row r="74" spans="1:16" x14ac:dyDescent="0.2">
      <c r="A74" s="147"/>
      <c r="B74" s="152" t="s">
        <v>50</v>
      </c>
      <c r="C74" s="230" t="s">
        <v>135</v>
      </c>
      <c r="D74" s="230" t="s">
        <v>135</v>
      </c>
      <c r="E74" s="315" t="str">
        <f t="shared" si="19"/>
        <v>-</v>
      </c>
      <c r="F74" s="230" t="s">
        <v>74</v>
      </c>
      <c r="G74" s="230"/>
      <c r="H74" s="230" t="s">
        <v>74</v>
      </c>
      <c r="I74" s="10">
        <f t="shared" si="17"/>
        <v>0</v>
      </c>
      <c r="J74" s="10">
        <f t="shared" si="20"/>
        <v>10</v>
      </c>
      <c r="K74" s="17" t="e">
        <f t="shared" si="14"/>
        <v>#N/A</v>
      </c>
      <c r="L74" s="17" t="e">
        <f t="shared" si="15"/>
        <v>#N/A</v>
      </c>
      <c r="M74" s="17" t="e">
        <f t="shared" ca="1" si="16"/>
        <v>#N/A</v>
      </c>
      <c r="N74" s="227"/>
      <c r="O74" s="227"/>
      <c r="P74" s="315" t="s">
        <v>74</v>
      </c>
    </row>
    <row r="75" spans="1:16" x14ac:dyDescent="0.2">
      <c r="A75" s="147"/>
      <c r="B75" s="152" t="s">
        <v>50</v>
      </c>
      <c r="C75" s="230" t="s">
        <v>135</v>
      </c>
      <c r="D75" s="230" t="s">
        <v>135</v>
      </c>
      <c r="E75" s="315" t="str">
        <f t="shared" si="19"/>
        <v>-</v>
      </c>
      <c r="F75" s="230" t="s">
        <v>74</v>
      </c>
      <c r="G75" s="230"/>
      <c r="H75" s="230" t="s">
        <v>74</v>
      </c>
      <c r="I75" s="10">
        <f t="shared" si="17"/>
        <v>0</v>
      </c>
      <c r="J75" s="10">
        <f t="shared" si="20"/>
        <v>11</v>
      </c>
      <c r="K75" s="17" t="e">
        <f t="shared" si="14"/>
        <v>#N/A</v>
      </c>
      <c r="L75" s="17" t="e">
        <f t="shared" si="15"/>
        <v>#N/A</v>
      </c>
      <c r="M75" s="17" t="e">
        <f t="shared" ca="1" si="16"/>
        <v>#N/A</v>
      </c>
      <c r="N75" s="227"/>
      <c r="O75" s="227"/>
      <c r="P75" s="315" t="s">
        <v>74</v>
      </c>
    </row>
    <row r="76" spans="1:16" x14ac:dyDescent="0.2">
      <c r="A76" s="147"/>
      <c r="B76" s="152" t="s">
        <v>50</v>
      </c>
      <c r="C76" s="230" t="s">
        <v>135</v>
      </c>
      <c r="D76" s="230" t="s">
        <v>135</v>
      </c>
      <c r="E76" s="315" t="str">
        <f t="shared" si="19"/>
        <v>-</v>
      </c>
      <c r="F76" s="230" t="s">
        <v>74</v>
      </c>
      <c r="G76" s="230"/>
      <c r="H76" s="230" t="s">
        <v>74</v>
      </c>
      <c r="I76" s="10">
        <f t="shared" si="17"/>
        <v>0</v>
      </c>
      <c r="J76" s="10">
        <f t="shared" si="20"/>
        <v>12</v>
      </c>
      <c r="K76" s="17" t="e">
        <f t="shared" si="14"/>
        <v>#N/A</v>
      </c>
      <c r="L76" s="17" t="e">
        <f t="shared" si="15"/>
        <v>#N/A</v>
      </c>
      <c r="M76" s="17" t="e">
        <f t="shared" ca="1" si="16"/>
        <v>#N/A</v>
      </c>
      <c r="N76" s="227"/>
      <c r="O76" s="227"/>
      <c r="P76" s="315" t="s">
        <v>74</v>
      </c>
    </row>
    <row r="77" spans="1:16" x14ac:dyDescent="0.2">
      <c r="A77" s="147"/>
      <c r="B77" s="152" t="s">
        <v>50</v>
      </c>
      <c r="C77" s="230" t="s">
        <v>135</v>
      </c>
      <c r="D77" s="230" t="s">
        <v>135</v>
      </c>
      <c r="E77" s="315" t="str">
        <f t="shared" si="19"/>
        <v>-</v>
      </c>
      <c r="F77" s="230" t="s">
        <v>74</v>
      </c>
      <c r="G77" s="230"/>
      <c r="H77" s="230" t="s">
        <v>74</v>
      </c>
      <c r="I77" s="10">
        <f t="shared" si="17"/>
        <v>0</v>
      </c>
      <c r="J77" s="10">
        <f t="shared" si="20"/>
        <v>13</v>
      </c>
      <c r="K77" s="17" t="e">
        <f t="shared" si="14"/>
        <v>#N/A</v>
      </c>
      <c r="L77" s="17" t="e">
        <f t="shared" si="15"/>
        <v>#N/A</v>
      </c>
      <c r="M77" s="17" t="e">
        <f t="shared" ca="1" si="16"/>
        <v>#N/A</v>
      </c>
      <c r="N77" s="227"/>
      <c r="O77" s="227"/>
      <c r="P77" s="315" t="s">
        <v>74</v>
      </c>
    </row>
    <row r="78" spans="1:16" x14ac:dyDescent="0.2">
      <c r="A78" s="147"/>
      <c r="B78" s="152" t="s">
        <v>50</v>
      </c>
      <c r="C78" s="230" t="s">
        <v>135</v>
      </c>
      <c r="D78" s="230" t="s">
        <v>135</v>
      </c>
      <c r="E78" s="315" t="str">
        <f t="shared" si="19"/>
        <v>-</v>
      </c>
      <c r="F78" s="230" t="s">
        <v>74</v>
      </c>
      <c r="G78" s="230"/>
      <c r="H78" s="230" t="s">
        <v>74</v>
      </c>
      <c r="I78" s="10">
        <f t="shared" si="17"/>
        <v>0</v>
      </c>
      <c r="J78" s="10">
        <f t="shared" si="20"/>
        <v>14</v>
      </c>
      <c r="K78" s="17" t="e">
        <f t="shared" si="14"/>
        <v>#N/A</v>
      </c>
      <c r="L78" s="17" t="e">
        <f t="shared" si="15"/>
        <v>#N/A</v>
      </c>
      <c r="M78" s="17" t="e">
        <f t="shared" ca="1" si="16"/>
        <v>#N/A</v>
      </c>
      <c r="N78" s="227"/>
      <c r="O78" s="227"/>
      <c r="P78" s="315" t="s">
        <v>74</v>
      </c>
    </row>
    <row r="79" spans="1:16" x14ac:dyDescent="0.2">
      <c r="A79" s="147"/>
      <c r="B79" s="152" t="s">
        <v>50</v>
      </c>
      <c r="C79" s="230" t="s">
        <v>135</v>
      </c>
      <c r="D79" s="230" t="s">
        <v>135</v>
      </c>
      <c r="E79" s="315" t="str">
        <f t="shared" si="19"/>
        <v>-</v>
      </c>
      <c r="F79" s="230" t="s">
        <v>74</v>
      </c>
      <c r="G79" s="230"/>
      <c r="H79" s="230" t="s">
        <v>74</v>
      </c>
      <c r="I79" s="10">
        <f t="shared" si="17"/>
        <v>0</v>
      </c>
      <c r="J79" s="10">
        <f t="shared" si="20"/>
        <v>15</v>
      </c>
      <c r="K79" s="17" t="e">
        <f t="shared" si="14"/>
        <v>#N/A</v>
      </c>
      <c r="L79" s="17" t="e">
        <f t="shared" si="15"/>
        <v>#N/A</v>
      </c>
      <c r="M79" s="17" t="e">
        <f t="shared" ca="1" si="16"/>
        <v>#N/A</v>
      </c>
      <c r="N79" s="227"/>
      <c r="O79" s="227"/>
      <c r="P79" s="315" t="s">
        <v>74</v>
      </c>
    </row>
    <row r="80" spans="1:16" x14ac:dyDescent="0.2">
      <c r="A80" s="147"/>
      <c r="B80" s="152" t="s">
        <v>50</v>
      </c>
      <c r="C80" s="230" t="s">
        <v>135</v>
      </c>
      <c r="D80" s="230" t="s">
        <v>135</v>
      </c>
      <c r="E80" s="315" t="str">
        <f t="shared" si="19"/>
        <v>-</v>
      </c>
      <c r="F80" s="230" t="s">
        <v>74</v>
      </c>
      <c r="G80" s="230"/>
      <c r="H80" s="230" t="s">
        <v>74</v>
      </c>
      <c r="I80" s="10">
        <f t="shared" si="17"/>
        <v>0</v>
      </c>
      <c r="J80" s="10">
        <f t="shared" si="20"/>
        <v>16</v>
      </c>
      <c r="K80" s="17" t="e">
        <f t="shared" si="14"/>
        <v>#N/A</v>
      </c>
      <c r="L80" s="17" t="e">
        <f t="shared" si="15"/>
        <v>#N/A</v>
      </c>
      <c r="M80" s="17" t="e">
        <f t="shared" ca="1" si="16"/>
        <v>#N/A</v>
      </c>
      <c r="N80" s="227"/>
      <c r="O80" s="227"/>
      <c r="P80" s="315" t="s">
        <v>74</v>
      </c>
    </row>
    <row r="81" spans="1:16" x14ac:dyDescent="0.2">
      <c r="A81" s="147"/>
      <c r="B81" s="152" t="s">
        <v>50</v>
      </c>
      <c r="C81" s="230" t="s">
        <v>135</v>
      </c>
      <c r="D81" s="230" t="s">
        <v>135</v>
      </c>
      <c r="E81" s="315" t="str">
        <f t="shared" ref="E81:E112" si="21">IF(P81="-",P81,_xlfn.CONCAT(C81,":",P81))</f>
        <v>-</v>
      </c>
      <c r="F81" s="230" t="s">
        <v>74</v>
      </c>
      <c r="G81" s="230"/>
      <c r="H81" s="230" t="s">
        <v>74</v>
      </c>
      <c r="I81" s="10">
        <f t="shared" si="17"/>
        <v>0</v>
      </c>
      <c r="J81" s="10">
        <f t="shared" si="20"/>
        <v>17</v>
      </c>
      <c r="K81" s="17" t="e">
        <f t="shared" ref="K81:K144" si="22">VLOOKUP(H81,nodeDevicePinConfigTable,3+J81+(IF(B81="IN",0,1)*VLOOKUP(H81,nodeDevicePinConfigTable,2,TRUE)),TRUE)</f>
        <v>#N/A</v>
      </c>
      <c r="L81" s="17" t="e">
        <f t="shared" ref="L81:L144" si="23">VLOOKUP(H81,nodeJMRIPinConfigTable,3+J81+(IF(B81="IN",0,1)*VLOOKUP(H81,nodeJMRIPinConfigTable,2,TRUE)),TRUE)</f>
        <v>#N/A</v>
      </c>
      <c r="M81" s="17" t="e">
        <f t="shared" ref="M81:M144" ca="1" si="24">CONCATENATE(LEFT(L81,2),$D$5*1000+VALUE(RIGHT(L81,3)+I81))</f>
        <v>#N/A</v>
      </c>
      <c r="N81" s="227"/>
      <c r="O81" s="227"/>
      <c r="P81" s="315" t="s">
        <v>74</v>
      </c>
    </row>
    <row r="82" spans="1:16" x14ac:dyDescent="0.2">
      <c r="A82" s="147"/>
      <c r="B82" s="152" t="s">
        <v>50</v>
      </c>
      <c r="C82" s="230" t="s">
        <v>135</v>
      </c>
      <c r="D82" s="230" t="s">
        <v>135</v>
      </c>
      <c r="E82" s="315" t="str">
        <f t="shared" si="21"/>
        <v>-</v>
      </c>
      <c r="F82" s="230" t="s">
        <v>74</v>
      </c>
      <c r="G82" s="230"/>
      <c r="H82" s="230" t="s">
        <v>74</v>
      </c>
      <c r="I82" s="10">
        <f t="shared" ref="I82:I145" si="25">IF(LEFT(H82,4)="BASE",0,IF(LEFT(H82,3)="IOX", VALUE(MID(H82,4,2))*VALUE(RIGHT(H82,1)),0))</f>
        <v>0</v>
      </c>
      <c r="J82" s="10">
        <f t="shared" si="20"/>
        <v>18</v>
      </c>
      <c r="K82" s="17" t="e">
        <f t="shared" si="22"/>
        <v>#N/A</v>
      </c>
      <c r="L82" s="17" t="e">
        <f t="shared" si="23"/>
        <v>#N/A</v>
      </c>
      <c r="M82" s="17" t="e">
        <f t="shared" ca="1" si="24"/>
        <v>#N/A</v>
      </c>
      <c r="N82" s="227"/>
      <c r="O82" s="227"/>
      <c r="P82" s="315" t="s">
        <v>74</v>
      </c>
    </row>
    <row r="83" spans="1:16" x14ac:dyDescent="0.2">
      <c r="A83" s="147"/>
      <c r="B83" s="152" t="s">
        <v>50</v>
      </c>
      <c r="C83" s="230" t="s">
        <v>135</v>
      </c>
      <c r="D83" s="230" t="s">
        <v>135</v>
      </c>
      <c r="E83" s="315" t="str">
        <f t="shared" si="21"/>
        <v>-</v>
      </c>
      <c r="F83" s="230" t="s">
        <v>74</v>
      </c>
      <c r="G83" s="230"/>
      <c r="H83" s="230" t="s">
        <v>74</v>
      </c>
      <c r="I83" s="10">
        <f t="shared" si="25"/>
        <v>0</v>
      </c>
      <c r="J83" s="10">
        <f t="shared" si="20"/>
        <v>19</v>
      </c>
      <c r="K83" s="17" t="e">
        <f t="shared" si="22"/>
        <v>#N/A</v>
      </c>
      <c r="L83" s="17" t="e">
        <f t="shared" si="23"/>
        <v>#N/A</v>
      </c>
      <c r="M83" s="17" t="e">
        <f t="shared" ca="1" si="24"/>
        <v>#N/A</v>
      </c>
      <c r="N83" s="227"/>
      <c r="O83" s="227"/>
      <c r="P83" s="315" t="s">
        <v>74</v>
      </c>
    </row>
    <row r="84" spans="1:16" x14ac:dyDescent="0.2">
      <c r="A84" s="147"/>
      <c r="B84" s="152" t="s">
        <v>50</v>
      </c>
      <c r="C84" s="230" t="s">
        <v>135</v>
      </c>
      <c r="D84" s="230" t="s">
        <v>135</v>
      </c>
      <c r="E84" s="315" t="str">
        <f t="shared" si="21"/>
        <v>-</v>
      </c>
      <c r="F84" s="230" t="s">
        <v>74</v>
      </c>
      <c r="G84" s="230"/>
      <c r="H84" s="230" t="s">
        <v>74</v>
      </c>
      <c r="I84" s="10">
        <f t="shared" si="25"/>
        <v>0</v>
      </c>
      <c r="J84" s="10">
        <f t="shared" si="20"/>
        <v>20</v>
      </c>
      <c r="K84" s="17" t="e">
        <f t="shared" si="22"/>
        <v>#N/A</v>
      </c>
      <c r="L84" s="17" t="e">
        <f t="shared" si="23"/>
        <v>#N/A</v>
      </c>
      <c r="M84" s="17" t="e">
        <f t="shared" ca="1" si="24"/>
        <v>#N/A</v>
      </c>
      <c r="N84" s="227"/>
      <c r="O84" s="227"/>
      <c r="P84" s="315" t="s">
        <v>74</v>
      </c>
    </row>
    <row r="85" spans="1:16" x14ac:dyDescent="0.2">
      <c r="A85" s="147"/>
      <c r="B85" s="152" t="s">
        <v>50</v>
      </c>
      <c r="C85" s="230" t="s">
        <v>135</v>
      </c>
      <c r="D85" s="230" t="s">
        <v>135</v>
      </c>
      <c r="E85" s="315" t="str">
        <f t="shared" si="21"/>
        <v>-</v>
      </c>
      <c r="F85" s="230" t="s">
        <v>74</v>
      </c>
      <c r="G85" s="230"/>
      <c r="H85" s="230" t="s">
        <v>74</v>
      </c>
      <c r="I85" s="10">
        <f t="shared" si="25"/>
        <v>0</v>
      </c>
      <c r="J85" s="10">
        <f t="shared" si="20"/>
        <v>21</v>
      </c>
      <c r="K85" s="17" t="e">
        <f t="shared" si="22"/>
        <v>#N/A</v>
      </c>
      <c r="L85" s="17" t="e">
        <f t="shared" si="23"/>
        <v>#N/A</v>
      </c>
      <c r="M85" s="17" t="e">
        <f t="shared" ca="1" si="24"/>
        <v>#N/A</v>
      </c>
      <c r="N85" s="227"/>
      <c r="O85" s="227"/>
      <c r="P85" s="315" t="s">
        <v>74</v>
      </c>
    </row>
    <row r="86" spans="1:16" x14ac:dyDescent="0.2">
      <c r="A86" s="147"/>
      <c r="B86" s="152" t="s">
        <v>50</v>
      </c>
      <c r="C86" s="230" t="s">
        <v>135</v>
      </c>
      <c r="D86" s="230" t="s">
        <v>135</v>
      </c>
      <c r="E86" s="315" t="str">
        <f t="shared" si="21"/>
        <v>-</v>
      </c>
      <c r="F86" s="230" t="s">
        <v>74</v>
      </c>
      <c r="G86" s="230"/>
      <c r="H86" s="230" t="s">
        <v>74</v>
      </c>
      <c r="I86" s="10">
        <f t="shared" si="25"/>
        <v>0</v>
      </c>
      <c r="J86" s="10">
        <f t="shared" si="20"/>
        <v>22</v>
      </c>
      <c r="K86" s="17" t="e">
        <f t="shared" si="22"/>
        <v>#N/A</v>
      </c>
      <c r="L86" s="17" t="e">
        <f t="shared" si="23"/>
        <v>#N/A</v>
      </c>
      <c r="M86" s="17" t="e">
        <f t="shared" ca="1" si="24"/>
        <v>#N/A</v>
      </c>
      <c r="N86" s="227"/>
      <c r="O86" s="227"/>
      <c r="P86" s="315" t="s">
        <v>74</v>
      </c>
    </row>
    <row r="87" spans="1:16" x14ac:dyDescent="0.2">
      <c r="A87" s="147"/>
      <c r="B87" s="152" t="s">
        <v>50</v>
      </c>
      <c r="C87" s="230" t="s">
        <v>135</v>
      </c>
      <c r="D87" s="230" t="s">
        <v>135</v>
      </c>
      <c r="E87" s="315" t="str">
        <f t="shared" si="21"/>
        <v>-</v>
      </c>
      <c r="F87" s="230" t="s">
        <v>74</v>
      </c>
      <c r="G87" s="230"/>
      <c r="H87" s="230" t="s">
        <v>74</v>
      </c>
      <c r="I87" s="10">
        <f t="shared" si="25"/>
        <v>0</v>
      </c>
      <c r="J87" s="10">
        <f t="shared" si="20"/>
        <v>23</v>
      </c>
      <c r="K87" s="17" t="e">
        <f t="shared" si="22"/>
        <v>#N/A</v>
      </c>
      <c r="L87" s="17" t="e">
        <f t="shared" si="23"/>
        <v>#N/A</v>
      </c>
      <c r="M87" s="17" t="e">
        <f t="shared" ca="1" si="24"/>
        <v>#N/A</v>
      </c>
      <c r="N87" s="227"/>
      <c r="O87" s="227"/>
      <c r="P87" s="315" t="s">
        <v>74</v>
      </c>
    </row>
    <row r="88" spans="1:16" x14ac:dyDescent="0.2">
      <c r="A88" s="147"/>
      <c r="B88" s="152" t="s">
        <v>50</v>
      </c>
      <c r="C88" s="230" t="s">
        <v>135</v>
      </c>
      <c r="D88" s="230" t="s">
        <v>135</v>
      </c>
      <c r="E88" s="315" t="str">
        <f t="shared" si="21"/>
        <v>-</v>
      </c>
      <c r="F88" s="230" t="s">
        <v>74</v>
      </c>
      <c r="G88" s="230"/>
      <c r="H88" s="230" t="s">
        <v>74</v>
      </c>
      <c r="I88" s="10">
        <f t="shared" si="25"/>
        <v>0</v>
      </c>
      <c r="J88" s="10">
        <f t="shared" si="20"/>
        <v>24</v>
      </c>
      <c r="K88" s="17" t="e">
        <f t="shared" si="22"/>
        <v>#N/A</v>
      </c>
      <c r="L88" s="17" t="e">
        <f t="shared" si="23"/>
        <v>#N/A</v>
      </c>
      <c r="M88" s="17" t="e">
        <f t="shared" ca="1" si="24"/>
        <v>#N/A</v>
      </c>
      <c r="N88" s="227"/>
      <c r="O88" s="227"/>
      <c r="P88" s="315" t="s">
        <v>74</v>
      </c>
    </row>
    <row r="89" spans="1:16" x14ac:dyDescent="0.2">
      <c r="A89" s="147"/>
      <c r="B89" s="152" t="s">
        <v>50</v>
      </c>
      <c r="C89" s="230" t="s">
        <v>135</v>
      </c>
      <c r="D89" s="230" t="s">
        <v>135</v>
      </c>
      <c r="E89" s="315" t="str">
        <f t="shared" si="21"/>
        <v>-</v>
      </c>
      <c r="F89" s="230" t="s">
        <v>74</v>
      </c>
      <c r="G89" s="230"/>
      <c r="H89" s="230" t="s">
        <v>74</v>
      </c>
      <c r="I89" s="10">
        <f t="shared" si="25"/>
        <v>0</v>
      </c>
      <c r="J89" s="10">
        <f t="shared" si="20"/>
        <v>25</v>
      </c>
      <c r="K89" s="17" t="e">
        <f t="shared" si="22"/>
        <v>#N/A</v>
      </c>
      <c r="L89" s="17" t="e">
        <f t="shared" si="23"/>
        <v>#N/A</v>
      </c>
      <c r="M89" s="17" t="e">
        <f t="shared" ca="1" si="24"/>
        <v>#N/A</v>
      </c>
      <c r="N89" s="227"/>
      <c r="O89" s="227"/>
      <c r="P89" s="315" t="s">
        <v>74</v>
      </c>
    </row>
    <row r="90" spans="1:16" x14ac:dyDescent="0.2">
      <c r="A90" s="147"/>
      <c r="B90" s="152" t="s">
        <v>50</v>
      </c>
      <c r="C90" s="230" t="s">
        <v>135</v>
      </c>
      <c r="D90" s="230" t="s">
        <v>135</v>
      </c>
      <c r="E90" s="315" t="str">
        <f t="shared" si="21"/>
        <v>-</v>
      </c>
      <c r="F90" s="230" t="s">
        <v>74</v>
      </c>
      <c r="G90" s="230"/>
      <c r="H90" s="230" t="s">
        <v>74</v>
      </c>
      <c r="I90" s="10">
        <f t="shared" si="25"/>
        <v>0</v>
      </c>
      <c r="J90" s="10">
        <f t="shared" si="20"/>
        <v>26</v>
      </c>
      <c r="K90" s="17" t="e">
        <f t="shared" si="22"/>
        <v>#N/A</v>
      </c>
      <c r="L90" s="17" t="e">
        <f t="shared" si="23"/>
        <v>#N/A</v>
      </c>
      <c r="M90" s="17" t="e">
        <f t="shared" ca="1" si="24"/>
        <v>#N/A</v>
      </c>
      <c r="N90" s="227"/>
      <c r="O90" s="227"/>
      <c r="P90" s="315" t="s">
        <v>74</v>
      </c>
    </row>
    <row r="91" spans="1:16" x14ac:dyDescent="0.2">
      <c r="A91" s="147"/>
      <c r="B91" s="152" t="s">
        <v>50</v>
      </c>
      <c r="C91" s="230" t="s">
        <v>135</v>
      </c>
      <c r="D91" s="230" t="s">
        <v>135</v>
      </c>
      <c r="E91" s="315" t="str">
        <f t="shared" si="21"/>
        <v>-</v>
      </c>
      <c r="F91" s="230" t="s">
        <v>74</v>
      </c>
      <c r="G91" s="230"/>
      <c r="H91" s="230" t="s">
        <v>74</v>
      </c>
      <c r="I91" s="10">
        <f t="shared" si="25"/>
        <v>0</v>
      </c>
      <c r="J91" s="10">
        <f t="shared" si="20"/>
        <v>27</v>
      </c>
      <c r="K91" s="17" t="e">
        <f t="shared" si="22"/>
        <v>#N/A</v>
      </c>
      <c r="L91" s="17" t="e">
        <f t="shared" si="23"/>
        <v>#N/A</v>
      </c>
      <c r="M91" s="17" t="e">
        <f t="shared" ca="1" si="24"/>
        <v>#N/A</v>
      </c>
      <c r="N91" s="227"/>
      <c r="O91" s="227"/>
      <c r="P91" s="315" t="s">
        <v>74</v>
      </c>
    </row>
    <row r="92" spans="1:16" x14ac:dyDescent="0.2">
      <c r="A92" s="147"/>
      <c r="B92" s="152" t="s">
        <v>50</v>
      </c>
      <c r="C92" s="230" t="s">
        <v>135</v>
      </c>
      <c r="D92" s="230" t="s">
        <v>135</v>
      </c>
      <c r="E92" s="315" t="str">
        <f t="shared" si="21"/>
        <v>-</v>
      </c>
      <c r="F92" s="230" t="s">
        <v>74</v>
      </c>
      <c r="G92" s="230"/>
      <c r="H92" s="230" t="s">
        <v>74</v>
      </c>
      <c r="I92" s="10">
        <f t="shared" si="25"/>
        <v>0</v>
      </c>
      <c r="J92" s="10">
        <f t="shared" si="20"/>
        <v>28</v>
      </c>
      <c r="K92" s="17" t="e">
        <f t="shared" si="22"/>
        <v>#N/A</v>
      </c>
      <c r="L92" s="17" t="e">
        <f t="shared" si="23"/>
        <v>#N/A</v>
      </c>
      <c r="M92" s="17" t="e">
        <f t="shared" ca="1" si="24"/>
        <v>#N/A</v>
      </c>
      <c r="N92" s="227"/>
      <c r="O92" s="227"/>
      <c r="P92" s="315" t="s">
        <v>74</v>
      </c>
    </row>
    <row r="93" spans="1:16" x14ac:dyDescent="0.2">
      <c r="A93" s="147"/>
      <c r="B93" s="152" t="s">
        <v>50</v>
      </c>
      <c r="C93" s="230" t="s">
        <v>135</v>
      </c>
      <c r="D93" s="230" t="s">
        <v>135</v>
      </c>
      <c r="E93" s="315" t="str">
        <f t="shared" si="21"/>
        <v>-</v>
      </c>
      <c r="F93" s="230" t="s">
        <v>74</v>
      </c>
      <c r="G93" s="230"/>
      <c r="H93" s="230" t="s">
        <v>74</v>
      </c>
      <c r="I93" s="10">
        <f t="shared" si="25"/>
        <v>0</v>
      </c>
      <c r="J93" s="10">
        <f t="shared" si="20"/>
        <v>29</v>
      </c>
      <c r="K93" s="17" t="e">
        <f t="shared" si="22"/>
        <v>#N/A</v>
      </c>
      <c r="L93" s="17" t="e">
        <f t="shared" si="23"/>
        <v>#N/A</v>
      </c>
      <c r="M93" s="17" t="e">
        <f t="shared" ca="1" si="24"/>
        <v>#N/A</v>
      </c>
      <c r="N93" s="227"/>
      <c r="O93" s="227"/>
      <c r="P93" s="315" t="s">
        <v>74</v>
      </c>
    </row>
    <row r="94" spans="1:16" x14ac:dyDescent="0.2">
      <c r="A94" s="147"/>
      <c r="B94" s="152" t="s">
        <v>50</v>
      </c>
      <c r="C94" s="230" t="s">
        <v>135</v>
      </c>
      <c r="D94" s="230" t="s">
        <v>135</v>
      </c>
      <c r="E94" s="315" t="str">
        <f t="shared" si="21"/>
        <v>-</v>
      </c>
      <c r="F94" s="230" t="s">
        <v>74</v>
      </c>
      <c r="G94" s="230"/>
      <c r="H94" s="230" t="s">
        <v>74</v>
      </c>
      <c r="I94" s="10">
        <f t="shared" si="25"/>
        <v>0</v>
      </c>
      <c r="J94" s="10">
        <f t="shared" si="20"/>
        <v>30</v>
      </c>
      <c r="K94" s="17" t="e">
        <f t="shared" si="22"/>
        <v>#N/A</v>
      </c>
      <c r="L94" s="17" t="e">
        <f t="shared" si="23"/>
        <v>#N/A</v>
      </c>
      <c r="M94" s="17" t="e">
        <f t="shared" ca="1" si="24"/>
        <v>#N/A</v>
      </c>
      <c r="N94" s="227"/>
      <c r="O94" s="227"/>
      <c r="P94" s="315" t="s">
        <v>74</v>
      </c>
    </row>
    <row r="95" spans="1:16" x14ac:dyDescent="0.2">
      <c r="A95" s="147"/>
      <c r="B95" s="152" t="s">
        <v>50</v>
      </c>
      <c r="C95" s="230" t="s">
        <v>135</v>
      </c>
      <c r="D95" s="230" t="s">
        <v>135</v>
      </c>
      <c r="E95" s="315" t="str">
        <f t="shared" si="21"/>
        <v>-</v>
      </c>
      <c r="F95" s="230" t="s">
        <v>74</v>
      </c>
      <c r="G95" s="230"/>
      <c r="H95" s="230" t="s">
        <v>74</v>
      </c>
      <c r="I95" s="10">
        <f t="shared" si="25"/>
        <v>0</v>
      </c>
      <c r="J95" s="10">
        <f t="shared" si="20"/>
        <v>31</v>
      </c>
      <c r="K95" s="17" t="e">
        <f t="shared" si="22"/>
        <v>#N/A</v>
      </c>
      <c r="L95" s="17" t="e">
        <f t="shared" si="23"/>
        <v>#N/A</v>
      </c>
      <c r="M95" s="17" t="e">
        <f t="shared" ca="1" si="24"/>
        <v>#N/A</v>
      </c>
      <c r="N95" s="227"/>
      <c r="O95" s="227"/>
      <c r="P95" s="315" t="s">
        <v>74</v>
      </c>
    </row>
    <row r="96" spans="1:16" ht="16" thickBot="1" x14ac:dyDescent="0.25">
      <c r="A96" s="147"/>
      <c r="B96" s="136" t="s">
        <v>50</v>
      </c>
      <c r="C96" s="137" t="s">
        <v>135</v>
      </c>
      <c r="D96" s="137" t="s">
        <v>135</v>
      </c>
      <c r="E96" s="317" t="str">
        <f t="shared" si="21"/>
        <v>-</v>
      </c>
      <c r="F96" s="137" t="s">
        <v>74</v>
      </c>
      <c r="G96" s="137"/>
      <c r="H96" s="137" t="s">
        <v>74</v>
      </c>
      <c r="I96" s="12">
        <f t="shared" si="25"/>
        <v>0</v>
      </c>
      <c r="J96" s="12">
        <f t="shared" si="20"/>
        <v>32</v>
      </c>
      <c r="K96" s="18" t="e">
        <f t="shared" si="22"/>
        <v>#N/A</v>
      </c>
      <c r="L96" s="18" t="e">
        <f t="shared" si="23"/>
        <v>#N/A</v>
      </c>
      <c r="M96" s="18" t="e">
        <f t="shared" ca="1" si="24"/>
        <v>#N/A</v>
      </c>
      <c r="N96" s="228"/>
      <c r="O96" s="228"/>
      <c r="P96" s="317" t="s">
        <v>74</v>
      </c>
    </row>
    <row r="97" spans="1:16" x14ac:dyDescent="0.2">
      <c r="A97" s="147"/>
      <c r="B97" s="255" t="s">
        <v>50</v>
      </c>
      <c r="C97" s="256" t="s">
        <v>135</v>
      </c>
      <c r="D97" s="256" t="s">
        <v>135</v>
      </c>
      <c r="E97" s="320" t="str">
        <f t="shared" si="21"/>
        <v>-</v>
      </c>
      <c r="F97" s="256" t="s">
        <v>74</v>
      </c>
      <c r="G97" s="325"/>
      <c r="H97" s="256" t="s">
        <v>74</v>
      </c>
      <c r="I97" s="254">
        <f t="shared" si="25"/>
        <v>0</v>
      </c>
      <c r="J97" s="5">
        <v>1</v>
      </c>
      <c r="K97" s="15" t="e">
        <f t="shared" si="22"/>
        <v>#N/A</v>
      </c>
      <c r="L97" s="15" t="e">
        <f t="shared" si="23"/>
        <v>#N/A</v>
      </c>
      <c r="M97" s="15" t="e">
        <f t="shared" ca="1" si="24"/>
        <v>#N/A</v>
      </c>
      <c r="N97" s="226"/>
      <c r="O97" s="226"/>
      <c r="P97" s="320" t="s">
        <v>74</v>
      </c>
    </row>
    <row r="98" spans="1:16" x14ac:dyDescent="0.2">
      <c r="A98" s="147"/>
      <c r="B98" s="152" t="s">
        <v>50</v>
      </c>
      <c r="C98" s="230" t="s">
        <v>135</v>
      </c>
      <c r="D98" s="230" t="s">
        <v>135</v>
      </c>
      <c r="E98" s="315" t="str">
        <f t="shared" si="21"/>
        <v>-</v>
      </c>
      <c r="F98" s="230" t="s">
        <v>74</v>
      </c>
      <c r="G98" s="230"/>
      <c r="H98" s="230" t="s">
        <v>74</v>
      </c>
      <c r="I98" s="10">
        <f t="shared" si="25"/>
        <v>0</v>
      </c>
      <c r="J98" s="6">
        <f t="shared" ref="J98:J128" si="26">IF(AND(H98=H97,B98=B97), J97+1,1)</f>
        <v>2</v>
      </c>
      <c r="K98" s="16" t="e">
        <f t="shared" si="22"/>
        <v>#N/A</v>
      </c>
      <c r="L98" s="16" t="e">
        <f t="shared" si="23"/>
        <v>#N/A</v>
      </c>
      <c r="M98" s="16" t="e">
        <f t="shared" ca="1" si="24"/>
        <v>#N/A</v>
      </c>
      <c r="N98" s="227"/>
      <c r="O98" s="227"/>
      <c r="P98" s="315" t="s">
        <v>74</v>
      </c>
    </row>
    <row r="99" spans="1:16" x14ac:dyDescent="0.2">
      <c r="A99" s="147"/>
      <c r="B99" s="152" t="s">
        <v>50</v>
      </c>
      <c r="C99" s="230" t="s">
        <v>135</v>
      </c>
      <c r="D99" s="230" t="s">
        <v>135</v>
      </c>
      <c r="E99" s="315" t="str">
        <f t="shared" si="21"/>
        <v>-</v>
      </c>
      <c r="F99" s="230" t="s">
        <v>74</v>
      </c>
      <c r="G99" s="230"/>
      <c r="H99" s="230" t="s">
        <v>74</v>
      </c>
      <c r="I99" s="10">
        <f t="shared" si="25"/>
        <v>0</v>
      </c>
      <c r="J99" s="6">
        <f t="shared" si="26"/>
        <v>3</v>
      </c>
      <c r="K99" s="16" t="e">
        <f t="shared" si="22"/>
        <v>#N/A</v>
      </c>
      <c r="L99" s="16" t="e">
        <f t="shared" si="23"/>
        <v>#N/A</v>
      </c>
      <c r="M99" s="16" t="e">
        <f t="shared" ca="1" si="24"/>
        <v>#N/A</v>
      </c>
      <c r="N99" s="227"/>
      <c r="O99" s="227"/>
      <c r="P99" s="315" t="s">
        <v>74</v>
      </c>
    </row>
    <row r="100" spans="1:16" x14ac:dyDescent="0.2">
      <c r="A100" s="147"/>
      <c r="B100" s="152" t="s">
        <v>50</v>
      </c>
      <c r="C100" s="230" t="s">
        <v>135</v>
      </c>
      <c r="D100" s="230" t="s">
        <v>135</v>
      </c>
      <c r="E100" s="315" t="str">
        <f t="shared" si="21"/>
        <v>-</v>
      </c>
      <c r="F100" s="230" t="s">
        <v>74</v>
      </c>
      <c r="G100" s="230"/>
      <c r="H100" s="230" t="s">
        <v>74</v>
      </c>
      <c r="I100" s="10">
        <f t="shared" si="25"/>
        <v>0</v>
      </c>
      <c r="J100" s="6">
        <f t="shared" si="26"/>
        <v>4</v>
      </c>
      <c r="K100" s="16" t="e">
        <f t="shared" si="22"/>
        <v>#N/A</v>
      </c>
      <c r="L100" s="16" t="e">
        <f t="shared" si="23"/>
        <v>#N/A</v>
      </c>
      <c r="M100" s="16" t="e">
        <f t="shared" ca="1" si="24"/>
        <v>#N/A</v>
      </c>
      <c r="N100" s="227"/>
      <c r="O100" s="227"/>
      <c r="P100" s="315" t="s">
        <v>74</v>
      </c>
    </row>
    <row r="101" spans="1:16" x14ac:dyDescent="0.2">
      <c r="A101" s="147"/>
      <c r="B101" s="152" t="s">
        <v>50</v>
      </c>
      <c r="C101" s="230" t="s">
        <v>135</v>
      </c>
      <c r="D101" s="230" t="s">
        <v>135</v>
      </c>
      <c r="E101" s="315" t="str">
        <f t="shared" si="21"/>
        <v>-</v>
      </c>
      <c r="F101" s="230" t="s">
        <v>74</v>
      </c>
      <c r="G101" s="230"/>
      <c r="H101" s="230" t="s">
        <v>74</v>
      </c>
      <c r="I101" s="10">
        <f t="shared" si="25"/>
        <v>0</v>
      </c>
      <c r="J101" s="10">
        <f t="shared" si="26"/>
        <v>5</v>
      </c>
      <c r="K101" s="17" t="e">
        <f t="shared" si="22"/>
        <v>#N/A</v>
      </c>
      <c r="L101" s="17" t="e">
        <f t="shared" si="23"/>
        <v>#N/A</v>
      </c>
      <c r="M101" s="17" t="e">
        <f t="shared" ca="1" si="24"/>
        <v>#N/A</v>
      </c>
      <c r="N101" s="227"/>
      <c r="O101" s="227"/>
      <c r="P101" s="315" t="s">
        <v>74</v>
      </c>
    </row>
    <row r="102" spans="1:16" x14ac:dyDescent="0.2">
      <c r="A102" s="147"/>
      <c r="B102" s="152" t="s">
        <v>50</v>
      </c>
      <c r="C102" s="230" t="s">
        <v>135</v>
      </c>
      <c r="D102" s="230" t="s">
        <v>135</v>
      </c>
      <c r="E102" s="315" t="str">
        <f t="shared" si="21"/>
        <v>-</v>
      </c>
      <c r="F102" s="230" t="s">
        <v>74</v>
      </c>
      <c r="G102" s="230"/>
      <c r="H102" s="230" t="s">
        <v>74</v>
      </c>
      <c r="I102" s="10">
        <f t="shared" si="25"/>
        <v>0</v>
      </c>
      <c r="J102" s="10">
        <f t="shared" si="26"/>
        <v>6</v>
      </c>
      <c r="K102" s="17" t="e">
        <f t="shared" si="22"/>
        <v>#N/A</v>
      </c>
      <c r="L102" s="17" t="e">
        <f t="shared" si="23"/>
        <v>#N/A</v>
      </c>
      <c r="M102" s="17" t="e">
        <f t="shared" ca="1" si="24"/>
        <v>#N/A</v>
      </c>
      <c r="N102" s="227"/>
      <c r="O102" s="227"/>
      <c r="P102" s="315" t="s">
        <v>74</v>
      </c>
    </row>
    <row r="103" spans="1:16" x14ac:dyDescent="0.2">
      <c r="A103" s="147"/>
      <c r="B103" s="152" t="s">
        <v>50</v>
      </c>
      <c r="C103" s="230" t="s">
        <v>135</v>
      </c>
      <c r="D103" s="230" t="s">
        <v>135</v>
      </c>
      <c r="E103" s="315" t="str">
        <f t="shared" si="21"/>
        <v>-</v>
      </c>
      <c r="F103" s="230" t="s">
        <v>74</v>
      </c>
      <c r="G103" s="230"/>
      <c r="H103" s="230" t="s">
        <v>74</v>
      </c>
      <c r="I103" s="10">
        <f t="shared" si="25"/>
        <v>0</v>
      </c>
      <c r="J103" s="10">
        <f t="shared" si="26"/>
        <v>7</v>
      </c>
      <c r="K103" s="17" t="e">
        <f t="shared" si="22"/>
        <v>#N/A</v>
      </c>
      <c r="L103" s="17" t="e">
        <f t="shared" si="23"/>
        <v>#N/A</v>
      </c>
      <c r="M103" s="17" t="e">
        <f t="shared" ca="1" si="24"/>
        <v>#N/A</v>
      </c>
      <c r="N103" s="227"/>
      <c r="O103" s="227"/>
      <c r="P103" s="315" t="s">
        <v>74</v>
      </c>
    </row>
    <row r="104" spans="1:16" x14ac:dyDescent="0.2">
      <c r="A104" s="147"/>
      <c r="B104" s="152" t="s">
        <v>50</v>
      </c>
      <c r="C104" s="230" t="s">
        <v>135</v>
      </c>
      <c r="D104" s="230" t="s">
        <v>135</v>
      </c>
      <c r="E104" s="315" t="str">
        <f t="shared" si="21"/>
        <v>-</v>
      </c>
      <c r="F104" s="230" t="s">
        <v>74</v>
      </c>
      <c r="G104" s="230"/>
      <c r="H104" s="230" t="s">
        <v>74</v>
      </c>
      <c r="I104" s="10">
        <f t="shared" si="25"/>
        <v>0</v>
      </c>
      <c r="J104" s="10">
        <f t="shared" si="26"/>
        <v>8</v>
      </c>
      <c r="K104" s="17" t="e">
        <f t="shared" si="22"/>
        <v>#N/A</v>
      </c>
      <c r="L104" s="17" t="e">
        <f t="shared" si="23"/>
        <v>#N/A</v>
      </c>
      <c r="M104" s="17" t="e">
        <f t="shared" ca="1" si="24"/>
        <v>#N/A</v>
      </c>
      <c r="N104" s="227"/>
      <c r="O104" s="227"/>
      <c r="P104" s="315" t="s">
        <v>74</v>
      </c>
    </row>
    <row r="105" spans="1:16" x14ac:dyDescent="0.2">
      <c r="A105" s="147"/>
      <c r="B105" s="152" t="s">
        <v>50</v>
      </c>
      <c r="C105" s="230" t="s">
        <v>135</v>
      </c>
      <c r="D105" s="230" t="s">
        <v>135</v>
      </c>
      <c r="E105" s="315" t="str">
        <f t="shared" si="21"/>
        <v>-</v>
      </c>
      <c r="F105" s="230" t="s">
        <v>74</v>
      </c>
      <c r="G105" s="230"/>
      <c r="H105" s="230" t="s">
        <v>74</v>
      </c>
      <c r="I105" s="10">
        <f t="shared" si="25"/>
        <v>0</v>
      </c>
      <c r="J105" s="10">
        <f t="shared" si="26"/>
        <v>9</v>
      </c>
      <c r="K105" s="17" t="e">
        <f t="shared" si="22"/>
        <v>#N/A</v>
      </c>
      <c r="L105" s="17" t="e">
        <f t="shared" si="23"/>
        <v>#N/A</v>
      </c>
      <c r="M105" s="17" t="e">
        <f t="shared" ca="1" si="24"/>
        <v>#N/A</v>
      </c>
      <c r="N105" s="227"/>
      <c r="O105" s="227"/>
      <c r="P105" s="315" t="s">
        <v>74</v>
      </c>
    </row>
    <row r="106" spans="1:16" x14ac:dyDescent="0.2">
      <c r="A106" s="147"/>
      <c r="B106" s="152" t="s">
        <v>50</v>
      </c>
      <c r="C106" s="230" t="s">
        <v>135</v>
      </c>
      <c r="D106" s="230" t="s">
        <v>135</v>
      </c>
      <c r="E106" s="315" t="str">
        <f t="shared" si="21"/>
        <v>-</v>
      </c>
      <c r="F106" s="230" t="s">
        <v>74</v>
      </c>
      <c r="G106" s="230"/>
      <c r="H106" s="230" t="s">
        <v>74</v>
      </c>
      <c r="I106" s="10">
        <f t="shared" si="25"/>
        <v>0</v>
      </c>
      <c r="J106" s="10">
        <f t="shared" si="26"/>
        <v>10</v>
      </c>
      <c r="K106" s="17" t="e">
        <f t="shared" si="22"/>
        <v>#N/A</v>
      </c>
      <c r="L106" s="17" t="e">
        <f t="shared" si="23"/>
        <v>#N/A</v>
      </c>
      <c r="M106" s="17" t="e">
        <f t="shared" ca="1" si="24"/>
        <v>#N/A</v>
      </c>
      <c r="N106" s="227"/>
      <c r="O106" s="227"/>
      <c r="P106" s="315" t="s">
        <v>74</v>
      </c>
    </row>
    <row r="107" spans="1:16" x14ac:dyDescent="0.2">
      <c r="A107" s="147"/>
      <c r="B107" s="152" t="s">
        <v>50</v>
      </c>
      <c r="C107" s="230" t="s">
        <v>135</v>
      </c>
      <c r="D107" s="230" t="s">
        <v>135</v>
      </c>
      <c r="E107" s="315" t="str">
        <f t="shared" si="21"/>
        <v>-</v>
      </c>
      <c r="F107" s="230" t="s">
        <v>74</v>
      </c>
      <c r="G107" s="230"/>
      <c r="H107" s="230" t="s">
        <v>74</v>
      </c>
      <c r="I107" s="10">
        <f t="shared" si="25"/>
        <v>0</v>
      </c>
      <c r="J107" s="10">
        <f t="shared" si="26"/>
        <v>11</v>
      </c>
      <c r="K107" s="17" t="e">
        <f t="shared" si="22"/>
        <v>#N/A</v>
      </c>
      <c r="L107" s="17" t="e">
        <f t="shared" si="23"/>
        <v>#N/A</v>
      </c>
      <c r="M107" s="17" t="e">
        <f t="shared" ca="1" si="24"/>
        <v>#N/A</v>
      </c>
      <c r="N107" s="227"/>
      <c r="O107" s="227"/>
      <c r="P107" s="315" t="s">
        <v>74</v>
      </c>
    </row>
    <row r="108" spans="1:16" x14ac:dyDescent="0.2">
      <c r="A108" s="147"/>
      <c r="B108" s="152" t="s">
        <v>50</v>
      </c>
      <c r="C108" s="230" t="s">
        <v>135</v>
      </c>
      <c r="D108" s="230" t="s">
        <v>135</v>
      </c>
      <c r="E108" s="315" t="str">
        <f t="shared" si="21"/>
        <v>-</v>
      </c>
      <c r="F108" s="230" t="s">
        <v>74</v>
      </c>
      <c r="G108" s="230"/>
      <c r="H108" s="230" t="s">
        <v>74</v>
      </c>
      <c r="I108" s="10">
        <f t="shared" si="25"/>
        <v>0</v>
      </c>
      <c r="J108" s="10">
        <f t="shared" si="26"/>
        <v>12</v>
      </c>
      <c r="K108" s="17" t="e">
        <f t="shared" si="22"/>
        <v>#N/A</v>
      </c>
      <c r="L108" s="17" t="e">
        <f t="shared" si="23"/>
        <v>#N/A</v>
      </c>
      <c r="M108" s="17" t="e">
        <f t="shared" ca="1" si="24"/>
        <v>#N/A</v>
      </c>
      <c r="N108" s="227"/>
      <c r="O108" s="227"/>
      <c r="P108" s="315" t="s">
        <v>74</v>
      </c>
    </row>
    <row r="109" spans="1:16" x14ac:dyDescent="0.2">
      <c r="A109" s="147"/>
      <c r="B109" s="152" t="s">
        <v>50</v>
      </c>
      <c r="C109" s="230" t="s">
        <v>135</v>
      </c>
      <c r="D109" s="230" t="s">
        <v>135</v>
      </c>
      <c r="E109" s="315" t="str">
        <f t="shared" si="21"/>
        <v>-</v>
      </c>
      <c r="F109" s="230" t="s">
        <v>74</v>
      </c>
      <c r="G109" s="230"/>
      <c r="H109" s="230" t="s">
        <v>74</v>
      </c>
      <c r="I109" s="10">
        <f t="shared" si="25"/>
        <v>0</v>
      </c>
      <c r="J109" s="10">
        <f t="shared" si="26"/>
        <v>13</v>
      </c>
      <c r="K109" s="17" t="e">
        <f t="shared" si="22"/>
        <v>#N/A</v>
      </c>
      <c r="L109" s="17" t="e">
        <f t="shared" si="23"/>
        <v>#N/A</v>
      </c>
      <c r="M109" s="17" t="e">
        <f t="shared" ca="1" si="24"/>
        <v>#N/A</v>
      </c>
      <c r="N109" s="227"/>
      <c r="O109" s="227"/>
      <c r="P109" s="315" t="s">
        <v>74</v>
      </c>
    </row>
    <row r="110" spans="1:16" x14ac:dyDescent="0.2">
      <c r="A110" s="147"/>
      <c r="B110" s="152" t="s">
        <v>50</v>
      </c>
      <c r="C110" s="230" t="s">
        <v>135</v>
      </c>
      <c r="D110" s="230" t="s">
        <v>135</v>
      </c>
      <c r="E110" s="315" t="str">
        <f t="shared" si="21"/>
        <v>-</v>
      </c>
      <c r="F110" s="230" t="s">
        <v>74</v>
      </c>
      <c r="G110" s="230"/>
      <c r="H110" s="230" t="s">
        <v>74</v>
      </c>
      <c r="I110" s="10">
        <f t="shared" si="25"/>
        <v>0</v>
      </c>
      <c r="J110" s="10">
        <f t="shared" si="26"/>
        <v>14</v>
      </c>
      <c r="K110" s="17" t="e">
        <f t="shared" si="22"/>
        <v>#N/A</v>
      </c>
      <c r="L110" s="17" t="e">
        <f t="shared" si="23"/>
        <v>#N/A</v>
      </c>
      <c r="M110" s="17" t="e">
        <f t="shared" ca="1" si="24"/>
        <v>#N/A</v>
      </c>
      <c r="N110" s="227"/>
      <c r="O110" s="227"/>
      <c r="P110" s="315" t="s">
        <v>74</v>
      </c>
    </row>
    <row r="111" spans="1:16" x14ac:dyDescent="0.2">
      <c r="A111" s="147"/>
      <c r="B111" s="152" t="s">
        <v>50</v>
      </c>
      <c r="C111" s="230" t="s">
        <v>135</v>
      </c>
      <c r="D111" s="230" t="s">
        <v>135</v>
      </c>
      <c r="E111" s="315" t="str">
        <f t="shared" si="21"/>
        <v>-</v>
      </c>
      <c r="F111" s="230" t="s">
        <v>74</v>
      </c>
      <c r="G111" s="230"/>
      <c r="H111" s="230" t="s">
        <v>74</v>
      </c>
      <c r="I111" s="10">
        <f t="shared" si="25"/>
        <v>0</v>
      </c>
      <c r="J111" s="10">
        <f t="shared" si="26"/>
        <v>15</v>
      </c>
      <c r="K111" s="17" t="e">
        <f t="shared" si="22"/>
        <v>#N/A</v>
      </c>
      <c r="L111" s="17" t="e">
        <f t="shared" si="23"/>
        <v>#N/A</v>
      </c>
      <c r="M111" s="17" t="e">
        <f t="shared" ca="1" si="24"/>
        <v>#N/A</v>
      </c>
      <c r="N111" s="227"/>
      <c r="O111" s="227"/>
      <c r="P111" s="315" t="s">
        <v>74</v>
      </c>
    </row>
    <row r="112" spans="1:16" x14ac:dyDescent="0.2">
      <c r="A112" s="147"/>
      <c r="B112" s="152" t="s">
        <v>50</v>
      </c>
      <c r="C112" s="230" t="s">
        <v>135</v>
      </c>
      <c r="D112" s="230" t="s">
        <v>135</v>
      </c>
      <c r="E112" s="315" t="str">
        <f t="shared" si="21"/>
        <v>-</v>
      </c>
      <c r="F112" s="230" t="s">
        <v>74</v>
      </c>
      <c r="G112" s="230"/>
      <c r="H112" s="230" t="s">
        <v>74</v>
      </c>
      <c r="I112" s="10">
        <f t="shared" si="25"/>
        <v>0</v>
      </c>
      <c r="J112" s="10">
        <f t="shared" si="26"/>
        <v>16</v>
      </c>
      <c r="K112" s="17" t="e">
        <f t="shared" si="22"/>
        <v>#N/A</v>
      </c>
      <c r="L112" s="17" t="e">
        <f t="shared" si="23"/>
        <v>#N/A</v>
      </c>
      <c r="M112" s="17" t="e">
        <f t="shared" ca="1" si="24"/>
        <v>#N/A</v>
      </c>
      <c r="N112" s="227"/>
      <c r="O112" s="227"/>
      <c r="P112" s="315" t="s">
        <v>74</v>
      </c>
    </row>
    <row r="113" spans="1:16" x14ac:dyDescent="0.2">
      <c r="A113" s="147"/>
      <c r="B113" s="152" t="s">
        <v>50</v>
      </c>
      <c r="C113" s="230" t="s">
        <v>135</v>
      </c>
      <c r="D113" s="230" t="s">
        <v>135</v>
      </c>
      <c r="E113" s="315" t="str">
        <f t="shared" ref="E113:E144" si="27">IF(P113="-",P113,_xlfn.CONCAT(C113,":",P113))</f>
        <v>-</v>
      </c>
      <c r="F113" s="230" t="s">
        <v>74</v>
      </c>
      <c r="G113" s="230"/>
      <c r="H113" s="230" t="s">
        <v>74</v>
      </c>
      <c r="I113" s="10">
        <f t="shared" si="25"/>
        <v>0</v>
      </c>
      <c r="J113" s="10">
        <f t="shared" si="26"/>
        <v>17</v>
      </c>
      <c r="K113" s="17" t="e">
        <f t="shared" si="22"/>
        <v>#N/A</v>
      </c>
      <c r="L113" s="17" t="e">
        <f t="shared" si="23"/>
        <v>#N/A</v>
      </c>
      <c r="M113" s="17" t="e">
        <f t="shared" ca="1" si="24"/>
        <v>#N/A</v>
      </c>
      <c r="N113" s="227"/>
      <c r="O113" s="227"/>
      <c r="P113" s="315" t="s">
        <v>74</v>
      </c>
    </row>
    <row r="114" spans="1:16" x14ac:dyDescent="0.2">
      <c r="A114" s="147"/>
      <c r="B114" s="152" t="s">
        <v>50</v>
      </c>
      <c r="C114" s="230" t="s">
        <v>135</v>
      </c>
      <c r="D114" s="230" t="s">
        <v>135</v>
      </c>
      <c r="E114" s="315" t="str">
        <f t="shared" si="27"/>
        <v>-</v>
      </c>
      <c r="F114" s="230" t="s">
        <v>74</v>
      </c>
      <c r="G114" s="230"/>
      <c r="H114" s="230" t="s">
        <v>74</v>
      </c>
      <c r="I114" s="10">
        <f t="shared" si="25"/>
        <v>0</v>
      </c>
      <c r="J114" s="10">
        <f t="shared" si="26"/>
        <v>18</v>
      </c>
      <c r="K114" s="17" t="e">
        <f t="shared" si="22"/>
        <v>#N/A</v>
      </c>
      <c r="L114" s="17" t="e">
        <f t="shared" si="23"/>
        <v>#N/A</v>
      </c>
      <c r="M114" s="17" t="e">
        <f t="shared" ca="1" si="24"/>
        <v>#N/A</v>
      </c>
      <c r="N114" s="227"/>
      <c r="O114" s="227"/>
      <c r="P114" s="315" t="s">
        <v>74</v>
      </c>
    </row>
    <row r="115" spans="1:16" x14ac:dyDescent="0.2">
      <c r="A115" s="147"/>
      <c r="B115" s="152" t="s">
        <v>50</v>
      </c>
      <c r="C115" s="230" t="s">
        <v>135</v>
      </c>
      <c r="D115" s="230" t="s">
        <v>135</v>
      </c>
      <c r="E115" s="315" t="str">
        <f t="shared" si="27"/>
        <v>-</v>
      </c>
      <c r="F115" s="230" t="s">
        <v>74</v>
      </c>
      <c r="G115" s="230"/>
      <c r="H115" s="230" t="s">
        <v>74</v>
      </c>
      <c r="I115" s="10">
        <f t="shared" si="25"/>
        <v>0</v>
      </c>
      <c r="J115" s="10">
        <f t="shared" si="26"/>
        <v>19</v>
      </c>
      <c r="K115" s="17" t="e">
        <f t="shared" si="22"/>
        <v>#N/A</v>
      </c>
      <c r="L115" s="17" t="e">
        <f t="shared" si="23"/>
        <v>#N/A</v>
      </c>
      <c r="M115" s="17" t="e">
        <f t="shared" ca="1" si="24"/>
        <v>#N/A</v>
      </c>
      <c r="N115" s="227"/>
      <c r="O115" s="227"/>
      <c r="P115" s="315" t="s">
        <v>74</v>
      </c>
    </row>
    <row r="116" spans="1:16" x14ac:dyDescent="0.2">
      <c r="A116" s="147"/>
      <c r="B116" s="152" t="s">
        <v>50</v>
      </c>
      <c r="C116" s="230" t="s">
        <v>135</v>
      </c>
      <c r="D116" s="230" t="s">
        <v>135</v>
      </c>
      <c r="E116" s="315" t="str">
        <f t="shared" si="27"/>
        <v>-</v>
      </c>
      <c r="F116" s="230" t="s">
        <v>74</v>
      </c>
      <c r="G116" s="230"/>
      <c r="H116" s="230" t="s">
        <v>74</v>
      </c>
      <c r="I116" s="10">
        <f t="shared" si="25"/>
        <v>0</v>
      </c>
      <c r="J116" s="10">
        <f t="shared" si="26"/>
        <v>20</v>
      </c>
      <c r="K116" s="17" t="e">
        <f t="shared" si="22"/>
        <v>#N/A</v>
      </c>
      <c r="L116" s="17" t="e">
        <f t="shared" si="23"/>
        <v>#N/A</v>
      </c>
      <c r="M116" s="17" t="e">
        <f t="shared" ca="1" si="24"/>
        <v>#N/A</v>
      </c>
      <c r="N116" s="227"/>
      <c r="O116" s="227"/>
      <c r="P116" s="315" t="s">
        <v>74</v>
      </c>
    </row>
    <row r="117" spans="1:16" x14ac:dyDescent="0.2">
      <c r="A117" s="147"/>
      <c r="B117" s="152" t="s">
        <v>50</v>
      </c>
      <c r="C117" s="230" t="s">
        <v>135</v>
      </c>
      <c r="D117" s="230" t="s">
        <v>135</v>
      </c>
      <c r="E117" s="315" t="str">
        <f t="shared" si="27"/>
        <v>-</v>
      </c>
      <c r="F117" s="230" t="s">
        <v>74</v>
      </c>
      <c r="G117" s="230"/>
      <c r="H117" s="230" t="s">
        <v>74</v>
      </c>
      <c r="I117" s="10">
        <f t="shared" si="25"/>
        <v>0</v>
      </c>
      <c r="J117" s="10">
        <f t="shared" si="26"/>
        <v>21</v>
      </c>
      <c r="K117" s="17" t="e">
        <f t="shared" si="22"/>
        <v>#N/A</v>
      </c>
      <c r="L117" s="17" t="e">
        <f t="shared" si="23"/>
        <v>#N/A</v>
      </c>
      <c r="M117" s="17" t="e">
        <f t="shared" ca="1" si="24"/>
        <v>#N/A</v>
      </c>
      <c r="N117" s="227"/>
      <c r="O117" s="227"/>
      <c r="P117" s="315" t="s">
        <v>74</v>
      </c>
    </row>
    <row r="118" spans="1:16" x14ac:dyDescent="0.2">
      <c r="A118" s="147"/>
      <c r="B118" s="152" t="s">
        <v>50</v>
      </c>
      <c r="C118" s="230" t="s">
        <v>135</v>
      </c>
      <c r="D118" s="230" t="s">
        <v>135</v>
      </c>
      <c r="E118" s="315" t="str">
        <f t="shared" si="27"/>
        <v>-</v>
      </c>
      <c r="F118" s="230" t="s">
        <v>74</v>
      </c>
      <c r="G118" s="230"/>
      <c r="H118" s="230" t="s">
        <v>74</v>
      </c>
      <c r="I118" s="10">
        <f t="shared" si="25"/>
        <v>0</v>
      </c>
      <c r="J118" s="10">
        <f t="shared" si="26"/>
        <v>22</v>
      </c>
      <c r="K118" s="17" t="e">
        <f t="shared" si="22"/>
        <v>#N/A</v>
      </c>
      <c r="L118" s="17" t="e">
        <f t="shared" si="23"/>
        <v>#N/A</v>
      </c>
      <c r="M118" s="17" t="e">
        <f t="shared" ca="1" si="24"/>
        <v>#N/A</v>
      </c>
      <c r="N118" s="227"/>
      <c r="O118" s="227"/>
      <c r="P118" s="315" t="s">
        <v>74</v>
      </c>
    </row>
    <row r="119" spans="1:16" x14ac:dyDescent="0.2">
      <c r="A119" s="147"/>
      <c r="B119" s="152" t="s">
        <v>50</v>
      </c>
      <c r="C119" s="230" t="s">
        <v>135</v>
      </c>
      <c r="D119" s="230" t="s">
        <v>135</v>
      </c>
      <c r="E119" s="315" t="str">
        <f t="shared" si="27"/>
        <v>-</v>
      </c>
      <c r="F119" s="230" t="s">
        <v>74</v>
      </c>
      <c r="G119" s="230"/>
      <c r="H119" s="230" t="s">
        <v>74</v>
      </c>
      <c r="I119" s="10">
        <f t="shared" si="25"/>
        <v>0</v>
      </c>
      <c r="J119" s="10">
        <f t="shared" si="26"/>
        <v>23</v>
      </c>
      <c r="K119" s="17" t="e">
        <f t="shared" si="22"/>
        <v>#N/A</v>
      </c>
      <c r="L119" s="17" t="e">
        <f t="shared" si="23"/>
        <v>#N/A</v>
      </c>
      <c r="M119" s="17" t="e">
        <f t="shared" ca="1" si="24"/>
        <v>#N/A</v>
      </c>
      <c r="N119" s="227"/>
      <c r="O119" s="227"/>
      <c r="P119" s="315" t="s">
        <v>74</v>
      </c>
    </row>
    <row r="120" spans="1:16" x14ac:dyDescent="0.2">
      <c r="A120" s="147"/>
      <c r="B120" s="152" t="s">
        <v>50</v>
      </c>
      <c r="C120" s="230" t="s">
        <v>135</v>
      </c>
      <c r="D120" s="230" t="s">
        <v>135</v>
      </c>
      <c r="E120" s="315" t="str">
        <f t="shared" si="27"/>
        <v>-</v>
      </c>
      <c r="F120" s="230" t="s">
        <v>74</v>
      </c>
      <c r="G120" s="230"/>
      <c r="H120" s="230" t="s">
        <v>74</v>
      </c>
      <c r="I120" s="10">
        <f t="shared" si="25"/>
        <v>0</v>
      </c>
      <c r="J120" s="10">
        <f t="shared" si="26"/>
        <v>24</v>
      </c>
      <c r="K120" s="17" t="e">
        <f t="shared" si="22"/>
        <v>#N/A</v>
      </c>
      <c r="L120" s="17" t="e">
        <f t="shared" si="23"/>
        <v>#N/A</v>
      </c>
      <c r="M120" s="17" t="e">
        <f t="shared" ca="1" si="24"/>
        <v>#N/A</v>
      </c>
      <c r="N120" s="227"/>
      <c r="O120" s="227"/>
      <c r="P120" s="315" t="s">
        <v>74</v>
      </c>
    </row>
    <row r="121" spans="1:16" x14ac:dyDescent="0.2">
      <c r="A121" s="147"/>
      <c r="B121" s="152" t="s">
        <v>50</v>
      </c>
      <c r="C121" s="230" t="s">
        <v>135</v>
      </c>
      <c r="D121" s="230" t="s">
        <v>135</v>
      </c>
      <c r="E121" s="315" t="str">
        <f t="shared" si="27"/>
        <v>-</v>
      </c>
      <c r="F121" s="230" t="s">
        <v>74</v>
      </c>
      <c r="G121" s="230"/>
      <c r="H121" s="230" t="s">
        <v>74</v>
      </c>
      <c r="I121" s="10">
        <f t="shared" si="25"/>
        <v>0</v>
      </c>
      <c r="J121" s="10">
        <f t="shared" si="26"/>
        <v>25</v>
      </c>
      <c r="K121" s="17" t="e">
        <f t="shared" si="22"/>
        <v>#N/A</v>
      </c>
      <c r="L121" s="17" t="e">
        <f t="shared" si="23"/>
        <v>#N/A</v>
      </c>
      <c r="M121" s="17" t="e">
        <f t="shared" ca="1" si="24"/>
        <v>#N/A</v>
      </c>
      <c r="N121" s="227"/>
      <c r="O121" s="227"/>
      <c r="P121" s="315" t="s">
        <v>74</v>
      </c>
    </row>
    <row r="122" spans="1:16" x14ac:dyDescent="0.2">
      <c r="A122" s="147"/>
      <c r="B122" s="152" t="s">
        <v>50</v>
      </c>
      <c r="C122" s="230" t="s">
        <v>135</v>
      </c>
      <c r="D122" s="230" t="s">
        <v>135</v>
      </c>
      <c r="E122" s="315" t="str">
        <f t="shared" si="27"/>
        <v>-</v>
      </c>
      <c r="F122" s="230" t="s">
        <v>74</v>
      </c>
      <c r="G122" s="230"/>
      <c r="H122" s="230" t="s">
        <v>74</v>
      </c>
      <c r="I122" s="10">
        <f t="shared" si="25"/>
        <v>0</v>
      </c>
      <c r="J122" s="10">
        <f t="shared" si="26"/>
        <v>26</v>
      </c>
      <c r="K122" s="17" t="e">
        <f t="shared" si="22"/>
        <v>#N/A</v>
      </c>
      <c r="L122" s="17" t="e">
        <f t="shared" si="23"/>
        <v>#N/A</v>
      </c>
      <c r="M122" s="17" t="e">
        <f t="shared" ca="1" si="24"/>
        <v>#N/A</v>
      </c>
      <c r="N122" s="227"/>
      <c r="O122" s="227"/>
      <c r="P122" s="315" t="s">
        <v>74</v>
      </c>
    </row>
    <row r="123" spans="1:16" x14ac:dyDescent="0.2">
      <c r="A123" s="147"/>
      <c r="B123" s="152" t="s">
        <v>50</v>
      </c>
      <c r="C123" s="230" t="s">
        <v>135</v>
      </c>
      <c r="D123" s="230" t="s">
        <v>135</v>
      </c>
      <c r="E123" s="315" t="str">
        <f t="shared" si="27"/>
        <v>-</v>
      </c>
      <c r="F123" s="230" t="s">
        <v>74</v>
      </c>
      <c r="G123" s="230"/>
      <c r="H123" s="230" t="s">
        <v>74</v>
      </c>
      <c r="I123" s="10">
        <f t="shared" si="25"/>
        <v>0</v>
      </c>
      <c r="J123" s="10">
        <f t="shared" si="26"/>
        <v>27</v>
      </c>
      <c r="K123" s="17" t="e">
        <f t="shared" si="22"/>
        <v>#N/A</v>
      </c>
      <c r="L123" s="17" t="e">
        <f t="shared" si="23"/>
        <v>#N/A</v>
      </c>
      <c r="M123" s="17" t="e">
        <f t="shared" ca="1" si="24"/>
        <v>#N/A</v>
      </c>
      <c r="N123" s="227"/>
      <c r="O123" s="227"/>
      <c r="P123" s="315" t="s">
        <v>74</v>
      </c>
    </row>
    <row r="124" spans="1:16" x14ac:dyDescent="0.2">
      <c r="A124" s="147"/>
      <c r="B124" s="152" t="s">
        <v>50</v>
      </c>
      <c r="C124" s="230" t="s">
        <v>135</v>
      </c>
      <c r="D124" s="230" t="s">
        <v>135</v>
      </c>
      <c r="E124" s="315" t="str">
        <f t="shared" si="27"/>
        <v>-</v>
      </c>
      <c r="F124" s="230" t="s">
        <v>74</v>
      </c>
      <c r="G124" s="230"/>
      <c r="H124" s="230" t="s">
        <v>74</v>
      </c>
      <c r="I124" s="10">
        <f t="shared" si="25"/>
        <v>0</v>
      </c>
      <c r="J124" s="10">
        <f t="shared" si="26"/>
        <v>28</v>
      </c>
      <c r="K124" s="17" t="e">
        <f t="shared" si="22"/>
        <v>#N/A</v>
      </c>
      <c r="L124" s="17" t="e">
        <f t="shared" si="23"/>
        <v>#N/A</v>
      </c>
      <c r="M124" s="17" t="e">
        <f t="shared" ca="1" si="24"/>
        <v>#N/A</v>
      </c>
      <c r="N124" s="227"/>
      <c r="O124" s="227"/>
      <c r="P124" s="315" t="s">
        <v>74</v>
      </c>
    </row>
    <row r="125" spans="1:16" x14ac:dyDescent="0.2">
      <c r="A125" s="147"/>
      <c r="B125" s="152" t="s">
        <v>50</v>
      </c>
      <c r="C125" s="230" t="s">
        <v>135</v>
      </c>
      <c r="D125" s="230" t="s">
        <v>135</v>
      </c>
      <c r="E125" s="315" t="str">
        <f t="shared" si="27"/>
        <v>-</v>
      </c>
      <c r="F125" s="230" t="s">
        <v>74</v>
      </c>
      <c r="G125" s="230"/>
      <c r="H125" s="230" t="s">
        <v>74</v>
      </c>
      <c r="I125" s="10">
        <f t="shared" si="25"/>
        <v>0</v>
      </c>
      <c r="J125" s="10">
        <f t="shared" si="26"/>
        <v>29</v>
      </c>
      <c r="K125" s="17" t="e">
        <f t="shared" si="22"/>
        <v>#N/A</v>
      </c>
      <c r="L125" s="17" t="e">
        <f t="shared" si="23"/>
        <v>#N/A</v>
      </c>
      <c r="M125" s="17" t="e">
        <f t="shared" ca="1" si="24"/>
        <v>#N/A</v>
      </c>
      <c r="N125" s="227"/>
      <c r="O125" s="227"/>
      <c r="P125" s="315" t="s">
        <v>74</v>
      </c>
    </row>
    <row r="126" spans="1:16" x14ac:dyDescent="0.2">
      <c r="A126" s="147"/>
      <c r="B126" s="152" t="s">
        <v>50</v>
      </c>
      <c r="C126" s="230" t="s">
        <v>135</v>
      </c>
      <c r="D126" s="230" t="s">
        <v>135</v>
      </c>
      <c r="E126" s="315" t="str">
        <f t="shared" si="27"/>
        <v>-</v>
      </c>
      <c r="F126" s="230" t="s">
        <v>74</v>
      </c>
      <c r="G126" s="230"/>
      <c r="H126" s="230" t="s">
        <v>74</v>
      </c>
      <c r="I126" s="10">
        <f t="shared" si="25"/>
        <v>0</v>
      </c>
      <c r="J126" s="10">
        <f t="shared" si="26"/>
        <v>30</v>
      </c>
      <c r="K126" s="17" t="e">
        <f t="shared" si="22"/>
        <v>#N/A</v>
      </c>
      <c r="L126" s="17" t="e">
        <f t="shared" si="23"/>
        <v>#N/A</v>
      </c>
      <c r="M126" s="17" t="e">
        <f t="shared" ca="1" si="24"/>
        <v>#N/A</v>
      </c>
      <c r="N126" s="227"/>
      <c r="O126" s="227"/>
      <c r="P126" s="315" t="s">
        <v>74</v>
      </c>
    </row>
    <row r="127" spans="1:16" x14ac:dyDescent="0.2">
      <c r="A127" s="147"/>
      <c r="B127" s="152" t="s">
        <v>50</v>
      </c>
      <c r="C127" s="230" t="s">
        <v>135</v>
      </c>
      <c r="D127" s="230" t="s">
        <v>135</v>
      </c>
      <c r="E127" s="315" t="str">
        <f t="shared" si="27"/>
        <v>-</v>
      </c>
      <c r="F127" s="230" t="s">
        <v>74</v>
      </c>
      <c r="G127" s="230"/>
      <c r="H127" s="230" t="s">
        <v>74</v>
      </c>
      <c r="I127" s="10">
        <f t="shared" si="25"/>
        <v>0</v>
      </c>
      <c r="J127" s="10">
        <f t="shared" si="26"/>
        <v>31</v>
      </c>
      <c r="K127" s="17" t="e">
        <f t="shared" si="22"/>
        <v>#N/A</v>
      </c>
      <c r="L127" s="17" t="e">
        <f t="shared" si="23"/>
        <v>#N/A</v>
      </c>
      <c r="M127" s="17" t="e">
        <f t="shared" ca="1" si="24"/>
        <v>#N/A</v>
      </c>
      <c r="N127" s="227"/>
      <c r="O127" s="227"/>
      <c r="P127" s="315" t="s">
        <v>74</v>
      </c>
    </row>
    <row r="128" spans="1:16" ht="16" thickBot="1" x14ac:dyDescent="0.25">
      <c r="A128" s="147"/>
      <c r="B128" s="136" t="s">
        <v>50</v>
      </c>
      <c r="C128" s="137" t="s">
        <v>135</v>
      </c>
      <c r="D128" s="137" t="s">
        <v>135</v>
      </c>
      <c r="E128" s="317" t="str">
        <f t="shared" si="27"/>
        <v>-</v>
      </c>
      <c r="F128" s="137" t="s">
        <v>74</v>
      </c>
      <c r="G128" s="137"/>
      <c r="H128" s="137" t="s">
        <v>74</v>
      </c>
      <c r="I128" s="12">
        <f t="shared" si="25"/>
        <v>0</v>
      </c>
      <c r="J128" s="12">
        <f t="shared" si="26"/>
        <v>32</v>
      </c>
      <c r="K128" s="18" t="e">
        <f t="shared" si="22"/>
        <v>#N/A</v>
      </c>
      <c r="L128" s="18" t="e">
        <f t="shared" si="23"/>
        <v>#N/A</v>
      </c>
      <c r="M128" s="18" t="e">
        <f t="shared" ca="1" si="24"/>
        <v>#N/A</v>
      </c>
      <c r="N128" s="228"/>
      <c r="O128" s="228"/>
      <c r="P128" s="317" t="s">
        <v>74</v>
      </c>
    </row>
    <row r="129" spans="1:16" x14ac:dyDescent="0.2">
      <c r="A129" s="147"/>
      <c r="B129" s="255" t="s">
        <v>50</v>
      </c>
      <c r="C129" s="256" t="s">
        <v>135</v>
      </c>
      <c r="D129" s="256" t="s">
        <v>135</v>
      </c>
      <c r="E129" s="320" t="str">
        <f t="shared" si="27"/>
        <v>-</v>
      </c>
      <c r="F129" s="256" t="s">
        <v>74</v>
      </c>
      <c r="G129" s="325"/>
      <c r="H129" s="256" t="s">
        <v>74</v>
      </c>
      <c r="I129" s="254">
        <f t="shared" si="25"/>
        <v>0</v>
      </c>
      <c r="J129" s="5">
        <v>1</v>
      </c>
      <c r="K129" s="15" t="e">
        <f t="shared" si="22"/>
        <v>#N/A</v>
      </c>
      <c r="L129" s="15" t="e">
        <f t="shared" si="23"/>
        <v>#N/A</v>
      </c>
      <c r="M129" s="15" t="e">
        <f t="shared" ca="1" si="24"/>
        <v>#N/A</v>
      </c>
      <c r="N129" s="226"/>
      <c r="O129" s="226"/>
      <c r="P129" s="320" t="s">
        <v>74</v>
      </c>
    </row>
    <row r="130" spans="1:16" x14ac:dyDescent="0.2">
      <c r="A130" s="147"/>
      <c r="B130" s="152" t="s">
        <v>50</v>
      </c>
      <c r="C130" s="230" t="s">
        <v>135</v>
      </c>
      <c r="D130" s="230" t="s">
        <v>135</v>
      </c>
      <c r="E130" s="315" t="str">
        <f t="shared" si="27"/>
        <v>-</v>
      </c>
      <c r="F130" s="230" t="s">
        <v>74</v>
      </c>
      <c r="G130" s="230"/>
      <c r="H130" s="230" t="s">
        <v>74</v>
      </c>
      <c r="I130" s="10">
        <f t="shared" si="25"/>
        <v>0</v>
      </c>
      <c r="J130" s="6">
        <f t="shared" ref="J130:J160" si="28">IF(AND(H130=H129,B130=B129), J129+1,1)</f>
        <v>2</v>
      </c>
      <c r="K130" s="16" t="e">
        <f t="shared" si="22"/>
        <v>#N/A</v>
      </c>
      <c r="L130" s="16" t="e">
        <f t="shared" si="23"/>
        <v>#N/A</v>
      </c>
      <c r="M130" s="16" t="e">
        <f t="shared" ca="1" si="24"/>
        <v>#N/A</v>
      </c>
      <c r="N130" s="227"/>
      <c r="O130" s="227"/>
      <c r="P130" s="315" t="s">
        <v>74</v>
      </c>
    </row>
    <row r="131" spans="1:16" x14ac:dyDescent="0.2">
      <c r="A131" s="147"/>
      <c r="B131" s="152" t="s">
        <v>50</v>
      </c>
      <c r="C131" s="230" t="s">
        <v>135</v>
      </c>
      <c r="D131" s="230" t="s">
        <v>135</v>
      </c>
      <c r="E131" s="315" t="str">
        <f t="shared" si="27"/>
        <v>-</v>
      </c>
      <c r="F131" s="230" t="s">
        <v>74</v>
      </c>
      <c r="G131" s="230"/>
      <c r="H131" s="230" t="s">
        <v>74</v>
      </c>
      <c r="I131" s="10">
        <f t="shared" si="25"/>
        <v>0</v>
      </c>
      <c r="J131" s="6">
        <f t="shared" si="28"/>
        <v>3</v>
      </c>
      <c r="K131" s="16" t="e">
        <f t="shared" si="22"/>
        <v>#N/A</v>
      </c>
      <c r="L131" s="16" t="e">
        <f t="shared" si="23"/>
        <v>#N/A</v>
      </c>
      <c r="M131" s="16" t="e">
        <f t="shared" ca="1" si="24"/>
        <v>#N/A</v>
      </c>
      <c r="N131" s="227"/>
      <c r="O131" s="227"/>
      <c r="P131" s="315" t="s">
        <v>74</v>
      </c>
    </row>
    <row r="132" spans="1:16" x14ac:dyDescent="0.2">
      <c r="A132" s="147"/>
      <c r="B132" s="152" t="s">
        <v>50</v>
      </c>
      <c r="C132" s="230" t="s">
        <v>135</v>
      </c>
      <c r="D132" s="230" t="s">
        <v>135</v>
      </c>
      <c r="E132" s="315" t="str">
        <f t="shared" si="27"/>
        <v>-</v>
      </c>
      <c r="F132" s="230" t="s">
        <v>74</v>
      </c>
      <c r="G132" s="230"/>
      <c r="H132" s="230" t="s">
        <v>74</v>
      </c>
      <c r="I132" s="10">
        <f t="shared" si="25"/>
        <v>0</v>
      </c>
      <c r="J132" s="6">
        <f t="shared" si="28"/>
        <v>4</v>
      </c>
      <c r="K132" s="16" t="e">
        <f t="shared" si="22"/>
        <v>#N/A</v>
      </c>
      <c r="L132" s="16" t="e">
        <f t="shared" si="23"/>
        <v>#N/A</v>
      </c>
      <c r="M132" s="16" t="e">
        <f t="shared" ca="1" si="24"/>
        <v>#N/A</v>
      </c>
      <c r="N132" s="227"/>
      <c r="O132" s="227"/>
      <c r="P132" s="315" t="s">
        <v>74</v>
      </c>
    </row>
    <row r="133" spans="1:16" x14ac:dyDescent="0.2">
      <c r="A133" s="147"/>
      <c r="B133" s="152" t="s">
        <v>50</v>
      </c>
      <c r="C133" s="230" t="s">
        <v>135</v>
      </c>
      <c r="D133" s="230" t="s">
        <v>135</v>
      </c>
      <c r="E133" s="315" t="str">
        <f t="shared" si="27"/>
        <v>-</v>
      </c>
      <c r="F133" s="230" t="s">
        <v>74</v>
      </c>
      <c r="G133" s="230"/>
      <c r="H133" s="230" t="s">
        <v>74</v>
      </c>
      <c r="I133" s="10">
        <f t="shared" si="25"/>
        <v>0</v>
      </c>
      <c r="J133" s="10">
        <f t="shared" si="28"/>
        <v>5</v>
      </c>
      <c r="K133" s="17" t="e">
        <f t="shared" si="22"/>
        <v>#N/A</v>
      </c>
      <c r="L133" s="17" t="e">
        <f t="shared" si="23"/>
        <v>#N/A</v>
      </c>
      <c r="M133" s="17" t="e">
        <f t="shared" ca="1" si="24"/>
        <v>#N/A</v>
      </c>
      <c r="N133" s="227"/>
      <c r="O133" s="227"/>
      <c r="P133" s="315" t="s">
        <v>74</v>
      </c>
    </row>
    <row r="134" spans="1:16" x14ac:dyDescent="0.2">
      <c r="A134" s="147"/>
      <c r="B134" s="152" t="s">
        <v>50</v>
      </c>
      <c r="C134" s="230" t="s">
        <v>135</v>
      </c>
      <c r="D134" s="230" t="s">
        <v>135</v>
      </c>
      <c r="E134" s="315" t="str">
        <f t="shared" si="27"/>
        <v>-</v>
      </c>
      <c r="F134" s="230" t="s">
        <v>74</v>
      </c>
      <c r="G134" s="230"/>
      <c r="H134" s="230" t="s">
        <v>74</v>
      </c>
      <c r="I134" s="10">
        <f t="shared" si="25"/>
        <v>0</v>
      </c>
      <c r="J134" s="10">
        <f t="shared" si="28"/>
        <v>6</v>
      </c>
      <c r="K134" s="17" t="e">
        <f t="shared" si="22"/>
        <v>#N/A</v>
      </c>
      <c r="L134" s="17" t="e">
        <f t="shared" si="23"/>
        <v>#N/A</v>
      </c>
      <c r="M134" s="17" t="e">
        <f t="shared" ca="1" si="24"/>
        <v>#N/A</v>
      </c>
      <c r="N134" s="227"/>
      <c r="O134" s="227"/>
      <c r="P134" s="315" t="s">
        <v>74</v>
      </c>
    </row>
    <row r="135" spans="1:16" x14ac:dyDescent="0.2">
      <c r="A135" s="147"/>
      <c r="B135" s="152" t="s">
        <v>50</v>
      </c>
      <c r="C135" s="230" t="s">
        <v>135</v>
      </c>
      <c r="D135" s="230" t="s">
        <v>135</v>
      </c>
      <c r="E135" s="315" t="str">
        <f t="shared" si="27"/>
        <v>-</v>
      </c>
      <c r="F135" s="230" t="s">
        <v>74</v>
      </c>
      <c r="G135" s="230"/>
      <c r="H135" s="230" t="s">
        <v>74</v>
      </c>
      <c r="I135" s="10">
        <f t="shared" si="25"/>
        <v>0</v>
      </c>
      <c r="J135" s="10">
        <f t="shared" si="28"/>
        <v>7</v>
      </c>
      <c r="K135" s="17" t="e">
        <f t="shared" si="22"/>
        <v>#N/A</v>
      </c>
      <c r="L135" s="17" t="e">
        <f t="shared" si="23"/>
        <v>#N/A</v>
      </c>
      <c r="M135" s="17" t="e">
        <f t="shared" ca="1" si="24"/>
        <v>#N/A</v>
      </c>
      <c r="N135" s="227"/>
      <c r="O135" s="227"/>
      <c r="P135" s="315" t="s">
        <v>74</v>
      </c>
    </row>
    <row r="136" spans="1:16" x14ac:dyDescent="0.2">
      <c r="A136" s="147"/>
      <c r="B136" s="152" t="s">
        <v>50</v>
      </c>
      <c r="C136" s="230" t="s">
        <v>135</v>
      </c>
      <c r="D136" s="230" t="s">
        <v>135</v>
      </c>
      <c r="E136" s="315" t="str">
        <f t="shared" si="27"/>
        <v>-</v>
      </c>
      <c r="F136" s="230" t="s">
        <v>74</v>
      </c>
      <c r="G136" s="230"/>
      <c r="H136" s="230" t="s">
        <v>74</v>
      </c>
      <c r="I136" s="10">
        <f t="shared" si="25"/>
        <v>0</v>
      </c>
      <c r="J136" s="10">
        <f t="shared" si="28"/>
        <v>8</v>
      </c>
      <c r="K136" s="17" t="e">
        <f t="shared" si="22"/>
        <v>#N/A</v>
      </c>
      <c r="L136" s="17" t="e">
        <f t="shared" si="23"/>
        <v>#N/A</v>
      </c>
      <c r="M136" s="17" t="e">
        <f t="shared" ca="1" si="24"/>
        <v>#N/A</v>
      </c>
      <c r="N136" s="227"/>
      <c r="O136" s="227"/>
      <c r="P136" s="315" t="s">
        <v>74</v>
      </c>
    </row>
    <row r="137" spans="1:16" x14ac:dyDescent="0.2">
      <c r="A137" s="147"/>
      <c r="B137" s="152" t="s">
        <v>50</v>
      </c>
      <c r="C137" s="230" t="s">
        <v>135</v>
      </c>
      <c r="D137" s="230" t="s">
        <v>135</v>
      </c>
      <c r="E137" s="315" t="str">
        <f t="shared" si="27"/>
        <v>-</v>
      </c>
      <c r="F137" s="230" t="s">
        <v>74</v>
      </c>
      <c r="G137" s="230"/>
      <c r="H137" s="230" t="s">
        <v>74</v>
      </c>
      <c r="I137" s="10">
        <f t="shared" si="25"/>
        <v>0</v>
      </c>
      <c r="J137" s="10">
        <f t="shared" si="28"/>
        <v>9</v>
      </c>
      <c r="K137" s="17" t="e">
        <f t="shared" si="22"/>
        <v>#N/A</v>
      </c>
      <c r="L137" s="17" t="e">
        <f t="shared" si="23"/>
        <v>#N/A</v>
      </c>
      <c r="M137" s="17" t="e">
        <f t="shared" ca="1" si="24"/>
        <v>#N/A</v>
      </c>
      <c r="N137" s="227"/>
      <c r="O137" s="227"/>
      <c r="P137" s="315" t="s">
        <v>74</v>
      </c>
    </row>
    <row r="138" spans="1:16" x14ac:dyDescent="0.2">
      <c r="A138" s="147"/>
      <c r="B138" s="152" t="s">
        <v>50</v>
      </c>
      <c r="C138" s="230" t="s">
        <v>135</v>
      </c>
      <c r="D138" s="230" t="s">
        <v>135</v>
      </c>
      <c r="E138" s="315" t="str">
        <f t="shared" si="27"/>
        <v>-</v>
      </c>
      <c r="F138" s="230" t="s">
        <v>74</v>
      </c>
      <c r="G138" s="230"/>
      <c r="H138" s="230" t="s">
        <v>74</v>
      </c>
      <c r="I138" s="10">
        <f t="shared" si="25"/>
        <v>0</v>
      </c>
      <c r="J138" s="10">
        <f t="shared" si="28"/>
        <v>10</v>
      </c>
      <c r="K138" s="17" t="e">
        <f t="shared" si="22"/>
        <v>#N/A</v>
      </c>
      <c r="L138" s="17" t="e">
        <f t="shared" si="23"/>
        <v>#N/A</v>
      </c>
      <c r="M138" s="17" t="e">
        <f t="shared" ca="1" si="24"/>
        <v>#N/A</v>
      </c>
      <c r="N138" s="227"/>
      <c r="O138" s="227"/>
      <c r="P138" s="315" t="s">
        <v>74</v>
      </c>
    </row>
    <row r="139" spans="1:16" x14ac:dyDescent="0.2">
      <c r="A139" s="147"/>
      <c r="B139" s="152" t="s">
        <v>50</v>
      </c>
      <c r="C139" s="230" t="s">
        <v>135</v>
      </c>
      <c r="D139" s="230" t="s">
        <v>135</v>
      </c>
      <c r="E139" s="315" t="str">
        <f t="shared" si="27"/>
        <v>-</v>
      </c>
      <c r="F139" s="230" t="s">
        <v>74</v>
      </c>
      <c r="G139" s="230"/>
      <c r="H139" s="230" t="s">
        <v>74</v>
      </c>
      <c r="I139" s="10">
        <f t="shared" si="25"/>
        <v>0</v>
      </c>
      <c r="J139" s="10">
        <f t="shared" si="28"/>
        <v>11</v>
      </c>
      <c r="K139" s="17" t="e">
        <f t="shared" si="22"/>
        <v>#N/A</v>
      </c>
      <c r="L139" s="17" t="e">
        <f t="shared" si="23"/>
        <v>#N/A</v>
      </c>
      <c r="M139" s="17" t="e">
        <f t="shared" ca="1" si="24"/>
        <v>#N/A</v>
      </c>
      <c r="N139" s="227"/>
      <c r="O139" s="227"/>
      <c r="P139" s="315" t="s">
        <v>74</v>
      </c>
    </row>
    <row r="140" spans="1:16" x14ac:dyDescent="0.2">
      <c r="A140" s="147"/>
      <c r="B140" s="152" t="s">
        <v>50</v>
      </c>
      <c r="C140" s="230" t="s">
        <v>135</v>
      </c>
      <c r="D140" s="230" t="s">
        <v>135</v>
      </c>
      <c r="E140" s="315" t="str">
        <f t="shared" si="27"/>
        <v>-</v>
      </c>
      <c r="F140" s="230" t="s">
        <v>74</v>
      </c>
      <c r="G140" s="230"/>
      <c r="H140" s="230" t="s">
        <v>74</v>
      </c>
      <c r="I140" s="10">
        <f t="shared" si="25"/>
        <v>0</v>
      </c>
      <c r="J140" s="10">
        <f t="shared" si="28"/>
        <v>12</v>
      </c>
      <c r="K140" s="17" t="e">
        <f t="shared" si="22"/>
        <v>#N/A</v>
      </c>
      <c r="L140" s="17" t="e">
        <f t="shared" si="23"/>
        <v>#N/A</v>
      </c>
      <c r="M140" s="17" t="e">
        <f t="shared" ca="1" si="24"/>
        <v>#N/A</v>
      </c>
      <c r="N140" s="227"/>
      <c r="O140" s="227"/>
      <c r="P140" s="315" t="s">
        <v>74</v>
      </c>
    </row>
    <row r="141" spans="1:16" x14ac:dyDescent="0.2">
      <c r="A141" s="147"/>
      <c r="B141" s="152" t="s">
        <v>50</v>
      </c>
      <c r="C141" s="230" t="s">
        <v>135</v>
      </c>
      <c r="D141" s="230" t="s">
        <v>135</v>
      </c>
      <c r="E141" s="315" t="str">
        <f t="shared" si="27"/>
        <v>-</v>
      </c>
      <c r="F141" s="230" t="s">
        <v>74</v>
      </c>
      <c r="G141" s="230"/>
      <c r="H141" s="230" t="s">
        <v>74</v>
      </c>
      <c r="I141" s="10">
        <f t="shared" si="25"/>
        <v>0</v>
      </c>
      <c r="J141" s="10">
        <f t="shared" si="28"/>
        <v>13</v>
      </c>
      <c r="K141" s="17" t="e">
        <f t="shared" si="22"/>
        <v>#N/A</v>
      </c>
      <c r="L141" s="17" t="e">
        <f t="shared" si="23"/>
        <v>#N/A</v>
      </c>
      <c r="M141" s="17" t="e">
        <f t="shared" ca="1" si="24"/>
        <v>#N/A</v>
      </c>
      <c r="N141" s="227"/>
      <c r="O141" s="227"/>
      <c r="P141" s="315" t="s">
        <v>74</v>
      </c>
    </row>
    <row r="142" spans="1:16" x14ac:dyDescent="0.2">
      <c r="A142" s="147"/>
      <c r="B142" s="152" t="s">
        <v>50</v>
      </c>
      <c r="C142" s="230" t="s">
        <v>135</v>
      </c>
      <c r="D142" s="230" t="s">
        <v>135</v>
      </c>
      <c r="E142" s="315" t="str">
        <f t="shared" si="27"/>
        <v>-</v>
      </c>
      <c r="F142" s="230" t="s">
        <v>74</v>
      </c>
      <c r="G142" s="230"/>
      <c r="H142" s="230" t="s">
        <v>74</v>
      </c>
      <c r="I142" s="10">
        <f t="shared" si="25"/>
        <v>0</v>
      </c>
      <c r="J142" s="10">
        <f t="shared" si="28"/>
        <v>14</v>
      </c>
      <c r="K142" s="17" t="e">
        <f t="shared" si="22"/>
        <v>#N/A</v>
      </c>
      <c r="L142" s="17" t="e">
        <f t="shared" si="23"/>
        <v>#N/A</v>
      </c>
      <c r="M142" s="17" t="e">
        <f t="shared" ca="1" si="24"/>
        <v>#N/A</v>
      </c>
      <c r="N142" s="227"/>
      <c r="O142" s="227"/>
      <c r="P142" s="315" t="s">
        <v>74</v>
      </c>
    </row>
    <row r="143" spans="1:16" x14ac:dyDescent="0.2">
      <c r="A143" s="147"/>
      <c r="B143" s="152" t="s">
        <v>50</v>
      </c>
      <c r="C143" s="230" t="s">
        <v>135</v>
      </c>
      <c r="D143" s="230" t="s">
        <v>135</v>
      </c>
      <c r="E143" s="315" t="str">
        <f t="shared" si="27"/>
        <v>-</v>
      </c>
      <c r="F143" s="230" t="s">
        <v>74</v>
      </c>
      <c r="G143" s="230"/>
      <c r="H143" s="230" t="s">
        <v>74</v>
      </c>
      <c r="I143" s="10">
        <f t="shared" si="25"/>
        <v>0</v>
      </c>
      <c r="J143" s="10">
        <f t="shared" si="28"/>
        <v>15</v>
      </c>
      <c r="K143" s="17" t="e">
        <f t="shared" si="22"/>
        <v>#N/A</v>
      </c>
      <c r="L143" s="17" t="e">
        <f t="shared" si="23"/>
        <v>#N/A</v>
      </c>
      <c r="M143" s="17" t="e">
        <f t="shared" ca="1" si="24"/>
        <v>#N/A</v>
      </c>
      <c r="N143" s="227"/>
      <c r="O143" s="227"/>
      <c r="P143" s="315" t="s">
        <v>74</v>
      </c>
    </row>
    <row r="144" spans="1:16" x14ac:dyDescent="0.2">
      <c r="A144" s="147"/>
      <c r="B144" s="152" t="s">
        <v>50</v>
      </c>
      <c r="C144" s="230" t="s">
        <v>135</v>
      </c>
      <c r="D144" s="230" t="s">
        <v>135</v>
      </c>
      <c r="E144" s="315" t="str">
        <f t="shared" si="27"/>
        <v>-</v>
      </c>
      <c r="F144" s="230" t="s">
        <v>74</v>
      </c>
      <c r="G144" s="230"/>
      <c r="H144" s="230" t="s">
        <v>74</v>
      </c>
      <c r="I144" s="10">
        <f t="shared" si="25"/>
        <v>0</v>
      </c>
      <c r="J144" s="10">
        <f t="shared" si="28"/>
        <v>16</v>
      </c>
      <c r="K144" s="17" t="e">
        <f t="shared" si="22"/>
        <v>#N/A</v>
      </c>
      <c r="L144" s="17" t="e">
        <f t="shared" si="23"/>
        <v>#N/A</v>
      </c>
      <c r="M144" s="17" t="e">
        <f t="shared" ca="1" si="24"/>
        <v>#N/A</v>
      </c>
      <c r="N144" s="227"/>
      <c r="O144" s="227"/>
      <c r="P144" s="315" t="s">
        <v>74</v>
      </c>
    </row>
    <row r="145" spans="1:16" x14ac:dyDescent="0.2">
      <c r="A145" s="147"/>
      <c r="B145" s="152" t="s">
        <v>50</v>
      </c>
      <c r="C145" s="230" t="s">
        <v>135</v>
      </c>
      <c r="D145" s="230" t="s">
        <v>135</v>
      </c>
      <c r="E145" s="315" t="str">
        <f t="shared" ref="E145:E160" si="29">IF(P145="-",P145,_xlfn.CONCAT(C145,":",P145))</f>
        <v>-</v>
      </c>
      <c r="F145" s="230" t="s">
        <v>74</v>
      </c>
      <c r="G145" s="230"/>
      <c r="H145" s="230" t="s">
        <v>74</v>
      </c>
      <c r="I145" s="10">
        <f t="shared" si="25"/>
        <v>0</v>
      </c>
      <c r="J145" s="10">
        <f t="shared" si="28"/>
        <v>17</v>
      </c>
      <c r="K145" s="17" t="e">
        <f t="shared" ref="K145:K160" si="30">VLOOKUP(H145,nodeDevicePinConfigTable,3+J145+(IF(B145="IN",0,1)*VLOOKUP(H145,nodeDevicePinConfigTable,2,TRUE)),TRUE)</f>
        <v>#N/A</v>
      </c>
      <c r="L145" s="17" t="e">
        <f t="shared" ref="L145:L160" si="31">VLOOKUP(H145,nodeJMRIPinConfigTable,3+J145+(IF(B145="IN",0,1)*VLOOKUP(H145,nodeJMRIPinConfigTable,2,TRUE)),TRUE)</f>
        <v>#N/A</v>
      </c>
      <c r="M145" s="17" t="e">
        <f t="shared" ref="M145:M160" ca="1" si="32">CONCATENATE(LEFT(L145,2),$D$5*1000+VALUE(RIGHT(L145,3)+I145))</f>
        <v>#N/A</v>
      </c>
      <c r="N145" s="227"/>
      <c r="O145" s="227"/>
      <c r="P145" s="315" t="s">
        <v>74</v>
      </c>
    </row>
    <row r="146" spans="1:16" x14ac:dyDescent="0.2">
      <c r="A146" s="147"/>
      <c r="B146" s="152" t="s">
        <v>50</v>
      </c>
      <c r="C146" s="230" t="s">
        <v>135</v>
      </c>
      <c r="D146" s="230" t="s">
        <v>135</v>
      </c>
      <c r="E146" s="315" t="str">
        <f t="shared" si="29"/>
        <v>-</v>
      </c>
      <c r="F146" s="230" t="s">
        <v>74</v>
      </c>
      <c r="G146" s="230"/>
      <c r="H146" s="230" t="s">
        <v>74</v>
      </c>
      <c r="I146" s="10">
        <f t="shared" ref="I146:I160" si="33">IF(LEFT(H146,4)="BASE",0,IF(LEFT(H146,3)="IOX", VALUE(MID(H146,4,2))*VALUE(RIGHT(H146,1)),0))</f>
        <v>0</v>
      </c>
      <c r="J146" s="10">
        <f t="shared" si="28"/>
        <v>18</v>
      </c>
      <c r="K146" s="17" t="e">
        <f t="shared" si="30"/>
        <v>#N/A</v>
      </c>
      <c r="L146" s="17" t="e">
        <f t="shared" si="31"/>
        <v>#N/A</v>
      </c>
      <c r="M146" s="17" t="e">
        <f t="shared" ca="1" si="32"/>
        <v>#N/A</v>
      </c>
      <c r="N146" s="227"/>
      <c r="O146" s="227"/>
      <c r="P146" s="315" t="s">
        <v>74</v>
      </c>
    </row>
    <row r="147" spans="1:16" x14ac:dyDescent="0.2">
      <c r="A147" s="147"/>
      <c r="B147" s="152" t="s">
        <v>50</v>
      </c>
      <c r="C147" s="230" t="s">
        <v>135</v>
      </c>
      <c r="D147" s="230" t="s">
        <v>135</v>
      </c>
      <c r="E147" s="315" t="str">
        <f t="shared" si="29"/>
        <v>-</v>
      </c>
      <c r="F147" s="230" t="s">
        <v>74</v>
      </c>
      <c r="G147" s="230"/>
      <c r="H147" s="230" t="s">
        <v>74</v>
      </c>
      <c r="I147" s="10">
        <f t="shared" si="33"/>
        <v>0</v>
      </c>
      <c r="J147" s="10">
        <f t="shared" si="28"/>
        <v>19</v>
      </c>
      <c r="K147" s="17" t="e">
        <f t="shared" si="30"/>
        <v>#N/A</v>
      </c>
      <c r="L147" s="17" t="e">
        <f t="shared" si="31"/>
        <v>#N/A</v>
      </c>
      <c r="M147" s="17" t="e">
        <f t="shared" ca="1" si="32"/>
        <v>#N/A</v>
      </c>
      <c r="N147" s="227"/>
      <c r="O147" s="227"/>
      <c r="P147" s="315" t="s">
        <v>74</v>
      </c>
    </row>
    <row r="148" spans="1:16" x14ac:dyDescent="0.2">
      <c r="A148" s="147"/>
      <c r="B148" s="152" t="s">
        <v>50</v>
      </c>
      <c r="C148" s="230" t="s">
        <v>135</v>
      </c>
      <c r="D148" s="230" t="s">
        <v>135</v>
      </c>
      <c r="E148" s="315" t="str">
        <f t="shared" si="29"/>
        <v>-</v>
      </c>
      <c r="F148" s="230" t="s">
        <v>74</v>
      </c>
      <c r="G148" s="230"/>
      <c r="H148" s="230" t="s">
        <v>74</v>
      </c>
      <c r="I148" s="10">
        <f t="shared" si="33"/>
        <v>0</v>
      </c>
      <c r="J148" s="10">
        <f t="shared" si="28"/>
        <v>20</v>
      </c>
      <c r="K148" s="17" t="e">
        <f t="shared" si="30"/>
        <v>#N/A</v>
      </c>
      <c r="L148" s="17" t="e">
        <f t="shared" si="31"/>
        <v>#N/A</v>
      </c>
      <c r="M148" s="17" t="e">
        <f t="shared" ca="1" si="32"/>
        <v>#N/A</v>
      </c>
      <c r="N148" s="227"/>
      <c r="O148" s="227"/>
      <c r="P148" s="315" t="s">
        <v>74</v>
      </c>
    </row>
    <row r="149" spans="1:16" x14ac:dyDescent="0.2">
      <c r="A149" s="147"/>
      <c r="B149" s="152" t="s">
        <v>50</v>
      </c>
      <c r="C149" s="230" t="s">
        <v>135</v>
      </c>
      <c r="D149" s="230" t="s">
        <v>135</v>
      </c>
      <c r="E149" s="315" t="str">
        <f t="shared" si="29"/>
        <v>-</v>
      </c>
      <c r="F149" s="230" t="s">
        <v>74</v>
      </c>
      <c r="G149" s="230"/>
      <c r="H149" s="230" t="s">
        <v>74</v>
      </c>
      <c r="I149" s="10">
        <f t="shared" si="33"/>
        <v>0</v>
      </c>
      <c r="J149" s="10">
        <f t="shared" si="28"/>
        <v>21</v>
      </c>
      <c r="K149" s="17" t="e">
        <f t="shared" si="30"/>
        <v>#N/A</v>
      </c>
      <c r="L149" s="17" t="e">
        <f t="shared" si="31"/>
        <v>#N/A</v>
      </c>
      <c r="M149" s="17" t="e">
        <f t="shared" ca="1" si="32"/>
        <v>#N/A</v>
      </c>
      <c r="N149" s="227"/>
      <c r="O149" s="227"/>
      <c r="P149" s="315" t="s">
        <v>74</v>
      </c>
    </row>
    <row r="150" spans="1:16" x14ac:dyDescent="0.2">
      <c r="A150" s="147"/>
      <c r="B150" s="152" t="s">
        <v>50</v>
      </c>
      <c r="C150" s="230" t="s">
        <v>135</v>
      </c>
      <c r="D150" s="230" t="s">
        <v>135</v>
      </c>
      <c r="E150" s="315" t="str">
        <f t="shared" si="29"/>
        <v>-</v>
      </c>
      <c r="F150" s="230" t="s">
        <v>74</v>
      </c>
      <c r="G150" s="230"/>
      <c r="H150" s="230" t="s">
        <v>74</v>
      </c>
      <c r="I150" s="10">
        <f t="shared" si="33"/>
        <v>0</v>
      </c>
      <c r="J150" s="10">
        <f t="shared" si="28"/>
        <v>22</v>
      </c>
      <c r="K150" s="17" t="e">
        <f t="shared" si="30"/>
        <v>#N/A</v>
      </c>
      <c r="L150" s="17" t="e">
        <f t="shared" si="31"/>
        <v>#N/A</v>
      </c>
      <c r="M150" s="17" t="e">
        <f t="shared" ca="1" si="32"/>
        <v>#N/A</v>
      </c>
      <c r="N150" s="227"/>
      <c r="O150" s="227"/>
      <c r="P150" s="315" t="s">
        <v>74</v>
      </c>
    </row>
    <row r="151" spans="1:16" x14ac:dyDescent="0.2">
      <c r="A151" s="147"/>
      <c r="B151" s="152" t="s">
        <v>50</v>
      </c>
      <c r="C151" s="230" t="s">
        <v>135</v>
      </c>
      <c r="D151" s="230" t="s">
        <v>135</v>
      </c>
      <c r="E151" s="315" t="str">
        <f t="shared" si="29"/>
        <v>-</v>
      </c>
      <c r="F151" s="230" t="s">
        <v>74</v>
      </c>
      <c r="G151" s="230"/>
      <c r="H151" s="230" t="s">
        <v>74</v>
      </c>
      <c r="I151" s="10">
        <f t="shared" si="33"/>
        <v>0</v>
      </c>
      <c r="J151" s="10">
        <f t="shared" si="28"/>
        <v>23</v>
      </c>
      <c r="K151" s="17" t="e">
        <f t="shared" si="30"/>
        <v>#N/A</v>
      </c>
      <c r="L151" s="17" t="e">
        <f t="shared" si="31"/>
        <v>#N/A</v>
      </c>
      <c r="M151" s="17" t="e">
        <f t="shared" ca="1" si="32"/>
        <v>#N/A</v>
      </c>
      <c r="N151" s="227"/>
      <c r="O151" s="227"/>
      <c r="P151" s="315" t="s">
        <v>74</v>
      </c>
    </row>
    <row r="152" spans="1:16" x14ac:dyDescent="0.2">
      <c r="A152" s="147"/>
      <c r="B152" s="152" t="s">
        <v>50</v>
      </c>
      <c r="C152" s="230" t="s">
        <v>135</v>
      </c>
      <c r="D152" s="230" t="s">
        <v>135</v>
      </c>
      <c r="E152" s="315" t="str">
        <f t="shared" si="29"/>
        <v>-</v>
      </c>
      <c r="F152" s="230" t="s">
        <v>74</v>
      </c>
      <c r="G152" s="230"/>
      <c r="H152" s="230" t="s">
        <v>74</v>
      </c>
      <c r="I152" s="10">
        <f t="shared" si="33"/>
        <v>0</v>
      </c>
      <c r="J152" s="10">
        <f t="shared" si="28"/>
        <v>24</v>
      </c>
      <c r="K152" s="17" t="e">
        <f t="shared" si="30"/>
        <v>#N/A</v>
      </c>
      <c r="L152" s="17" t="e">
        <f t="shared" si="31"/>
        <v>#N/A</v>
      </c>
      <c r="M152" s="17" t="e">
        <f t="shared" ca="1" si="32"/>
        <v>#N/A</v>
      </c>
      <c r="N152" s="227"/>
      <c r="O152" s="227"/>
      <c r="P152" s="315" t="s">
        <v>74</v>
      </c>
    </row>
    <row r="153" spans="1:16" x14ac:dyDescent="0.2">
      <c r="A153" s="147"/>
      <c r="B153" s="152" t="s">
        <v>50</v>
      </c>
      <c r="C153" s="230" t="s">
        <v>135</v>
      </c>
      <c r="D153" s="230" t="s">
        <v>135</v>
      </c>
      <c r="E153" s="315" t="str">
        <f t="shared" si="29"/>
        <v>-</v>
      </c>
      <c r="F153" s="230" t="s">
        <v>74</v>
      </c>
      <c r="G153" s="230"/>
      <c r="H153" s="230" t="s">
        <v>74</v>
      </c>
      <c r="I153" s="10">
        <f t="shared" si="33"/>
        <v>0</v>
      </c>
      <c r="J153" s="10">
        <f t="shared" si="28"/>
        <v>25</v>
      </c>
      <c r="K153" s="17" t="e">
        <f t="shared" si="30"/>
        <v>#N/A</v>
      </c>
      <c r="L153" s="17" t="e">
        <f t="shared" si="31"/>
        <v>#N/A</v>
      </c>
      <c r="M153" s="17" t="e">
        <f t="shared" ca="1" si="32"/>
        <v>#N/A</v>
      </c>
      <c r="N153" s="227"/>
      <c r="O153" s="227"/>
      <c r="P153" s="315" t="s">
        <v>74</v>
      </c>
    </row>
    <row r="154" spans="1:16" x14ac:dyDescent="0.2">
      <c r="A154" s="147"/>
      <c r="B154" s="152" t="s">
        <v>50</v>
      </c>
      <c r="C154" s="230" t="s">
        <v>135</v>
      </c>
      <c r="D154" s="230" t="s">
        <v>135</v>
      </c>
      <c r="E154" s="315" t="str">
        <f t="shared" si="29"/>
        <v>-</v>
      </c>
      <c r="F154" s="230" t="s">
        <v>74</v>
      </c>
      <c r="G154" s="230"/>
      <c r="H154" s="230" t="s">
        <v>74</v>
      </c>
      <c r="I154" s="10">
        <f t="shared" si="33"/>
        <v>0</v>
      </c>
      <c r="J154" s="10">
        <f t="shared" si="28"/>
        <v>26</v>
      </c>
      <c r="K154" s="17" t="e">
        <f t="shared" si="30"/>
        <v>#N/A</v>
      </c>
      <c r="L154" s="17" t="e">
        <f t="shared" si="31"/>
        <v>#N/A</v>
      </c>
      <c r="M154" s="17" t="e">
        <f t="shared" ca="1" si="32"/>
        <v>#N/A</v>
      </c>
      <c r="N154" s="227"/>
      <c r="O154" s="227"/>
      <c r="P154" s="315" t="s">
        <v>74</v>
      </c>
    </row>
    <row r="155" spans="1:16" x14ac:dyDescent="0.2">
      <c r="A155" s="147"/>
      <c r="B155" s="152" t="s">
        <v>50</v>
      </c>
      <c r="C155" s="230" t="s">
        <v>135</v>
      </c>
      <c r="D155" s="230" t="s">
        <v>135</v>
      </c>
      <c r="E155" s="315" t="str">
        <f t="shared" si="29"/>
        <v>-</v>
      </c>
      <c r="F155" s="230" t="s">
        <v>74</v>
      </c>
      <c r="G155" s="230"/>
      <c r="H155" s="230" t="s">
        <v>74</v>
      </c>
      <c r="I155" s="10">
        <f t="shared" si="33"/>
        <v>0</v>
      </c>
      <c r="J155" s="10">
        <f t="shared" si="28"/>
        <v>27</v>
      </c>
      <c r="K155" s="17" t="e">
        <f t="shared" si="30"/>
        <v>#N/A</v>
      </c>
      <c r="L155" s="17" t="e">
        <f t="shared" si="31"/>
        <v>#N/A</v>
      </c>
      <c r="M155" s="17" t="e">
        <f t="shared" ca="1" si="32"/>
        <v>#N/A</v>
      </c>
      <c r="N155" s="227"/>
      <c r="O155" s="227"/>
      <c r="P155" s="315" t="s">
        <v>74</v>
      </c>
    </row>
    <row r="156" spans="1:16" x14ac:dyDescent="0.2">
      <c r="A156" s="147"/>
      <c r="B156" s="152" t="s">
        <v>50</v>
      </c>
      <c r="C156" s="230" t="s">
        <v>135</v>
      </c>
      <c r="D156" s="230" t="s">
        <v>135</v>
      </c>
      <c r="E156" s="315" t="str">
        <f t="shared" si="29"/>
        <v>-</v>
      </c>
      <c r="F156" s="230" t="s">
        <v>74</v>
      </c>
      <c r="G156" s="230"/>
      <c r="H156" s="230" t="s">
        <v>74</v>
      </c>
      <c r="I156" s="10">
        <f t="shared" si="33"/>
        <v>0</v>
      </c>
      <c r="J156" s="10">
        <f t="shared" si="28"/>
        <v>28</v>
      </c>
      <c r="K156" s="17" t="e">
        <f t="shared" si="30"/>
        <v>#N/A</v>
      </c>
      <c r="L156" s="17" t="e">
        <f t="shared" si="31"/>
        <v>#N/A</v>
      </c>
      <c r="M156" s="17" t="e">
        <f t="shared" ca="1" si="32"/>
        <v>#N/A</v>
      </c>
      <c r="N156" s="227"/>
      <c r="O156" s="227"/>
      <c r="P156" s="315" t="s">
        <v>74</v>
      </c>
    </row>
    <row r="157" spans="1:16" x14ac:dyDescent="0.2">
      <c r="A157" s="147"/>
      <c r="B157" s="152" t="s">
        <v>50</v>
      </c>
      <c r="C157" s="230" t="s">
        <v>135</v>
      </c>
      <c r="D157" s="230" t="s">
        <v>135</v>
      </c>
      <c r="E157" s="315" t="str">
        <f t="shared" si="29"/>
        <v>-</v>
      </c>
      <c r="F157" s="230" t="s">
        <v>74</v>
      </c>
      <c r="G157" s="230"/>
      <c r="H157" s="230" t="s">
        <v>74</v>
      </c>
      <c r="I157" s="10">
        <f t="shared" si="33"/>
        <v>0</v>
      </c>
      <c r="J157" s="10">
        <f t="shared" si="28"/>
        <v>29</v>
      </c>
      <c r="K157" s="17" t="e">
        <f t="shared" si="30"/>
        <v>#N/A</v>
      </c>
      <c r="L157" s="17" t="e">
        <f t="shared" si="31"/>
        <v>#N/A</v>
      </c>
      <c r="M157" s="17" t="e">
        <f t="shared" ca="1" si="32"/>
        <v>#N/A</v>
      </c>
      <c r="N157" s="227"/>
      <c r="O157" s="227"/>
      <c r="P157" s="315" t="s">
        <v>74</v>
      </c>
    </row>
    <row r="158" spans="1:16" x14ac:dyDescent="0.2">
      <c r="A158" s="147"/>
      <c r="B158" s="152" t="s">
        <v>50</v>
      </c>
      <c r="C158" s="230" t="s">
        <v>135</v>
      </c>
      <c r="D158" s="230" t="s">
        <v>135</v>
      </c>
      <c r="E158" s="315" t="str">
        <f t="shared" si="29"/>
        <v>-</v>
      </c>
      <c r="F158" s="230" t="s">
        <v>74</v>
      </c>
      <c r="G158" s="230"/>
      <c r="H158" s="230" t="s">
        <v>74</v>
      </c>
      <c r="I158" s="10">
        <f t="shared" si="33"/>
        <v>0</v>
      </c>
      <c r="J158" s="10">
        <f t="shared" si="28"/>
        <v>30</v>
      </c>
      <c r="K158" s="17" t="e">
        <f t="shared" si="30"/>
        <v>#N/A</v>
      </c>
      <c r="L158" s="17" t="e">
        <f t="shared" si="31"/>
        <v>#N/A</v>
      </c>
      <c r="M158" s="17" t="e">
        <f t="shared" ca="1" si="32"/>
        <v>#N/A</v>
      </c>
      <c r="N158" s="227"/>
      <c r="O158" s="227"/>
      <c r="P158" s="315" t="s">
        <v>74</v>
      </c>
    </row>
    <row r="159" spans="1:16" x14ac:dyDescent="0.2">
      <c r="A159" s="147"/>
      <c r="B159" s="152" t="s">
        <v>50</v>
      </c>
      <c r="C159" s="230" t="s">
        <v>135</v>
      </c>
      <c r="D159" s="230" t="s">
        <v>135</v>
      </c>
      <c r="E159" s="315" t="str">
        <f t="shared" si="29"/>
        <v>-</v>
      </c>
      <c r="F159" s="230" t="s">
        <v>74</v>
      </c>
      <c r="G159" s="230"/>
      <c r="H159" s="230" t="s">
        <v>74</v>
      </c>
      <c r="I159" s="10">
        <f t="shared" si="33"/>
        <v>0</v>
      </c>
      <c r="J159" s="10">
        <f t="shared" si="28"/>
        <v>31</v>
      </c>
      <c r="K159" s="17" t="e">
        <f t="shared" si="30"/>
        <v>#N/A</v>
      </c>
      <c r="L159" s="17" t="e">
        <f t="shared" si="31"/>
        <v>#N/A</v>
      </c>
      <c r="M159" s="17" t="e">
        <f t="shared" ca="1" si="32"/>
        <v>#N/A</v>
      </c>
      <c r="N159" s="227"/>
      <c r="O159" s="227"/>
      <c r="P159" s="315" t="s">
        <v>74</v>
      </c>
    </row>
    <row r="160" spans="1:16" ht="16" thickBot="1" x14ac:dyDescent="0.25">
      <c r="A160" s="148"/>
      <c r="B160" s="136" t="s">
        <v>50</v>
      </c>
      <c r="C160" s="137" t="s">
        <v>135</v>
      </c>
      <c r="D160" s="137" t="s">
        <v>135</v>
      </c>
      <c r="E160" s="317" t="str">
        <f t="shared" si="29"/>
        <v>-</v>
      </c>
      <c r="F160" s="137" t="s">
        <v>74</v>
      </c>
      <c r="G160" s="137"/>
      <c r="H160" s="137" t="s">
        <v>74</v>
      </c>
      <c r="I160" s="12">
        <f t="shared" si="33"/>
        <v>0</v>
      </c>
      <c r="J160" s="12">
        <f t="shared" si="28"/>
        <v>32</v>
      </c>
      <c r="K160" s="18" t="e">
        <f t="shared" si="30"/>
        <v>#N/A</v>
      </c>
      <c r="L160" s="18" t="e">
        <f t="shared" si="31"/>
        <v>#N/A</v>
      </c>
      <c r="M160" s="18" t="e">
        <f t="shared" ca="1" si="32"/>
        <v>#N/A</v>
      </c>
      <c r="N160" s="228"/>
      <c r="O160" s="228"/>
      <c r="P160" s="317" t="s">
        <v>74</v>
      </c>
    </row>
  </sheetData>
  <mergeCells count="15">
    <mergeCell ref="B2:P2"/>
    <mergeCell ref="O3:P5"/>
    <mergeCell ref="B15:P15"/>
    <mergeCell ref="C7:C14"/>
    <mergeCell ref="Q2:X2"/>
    <mergeCell ref="B3:D3"/>
    <mergeCell ref="E3:F5"/>
    <mergeCell ref="H3:K3"/>
    <mergeCell ref="L3:N3"/>
    <mergeCell ref="B4:C4"/>
    <mergeCell ref="H4:K4"/>
    <mergeCell ref="L4:N4"/>
    <mergeCell ref="B5:C5"/>
    <mergeCell ref="H5:K5"/>
    <mergeCell ref="L5:N5"/>
  </mergeCells>
  <dataValidations count="5">
    <dataValidation type="list" allowBlank="1" showInputMessage="1" showErrorMessage="1" sqref="C17:C160" xr:uid="{CD9D446A-EA7A-0343-A5FE-43388AFD87CA}">
      <formula1>VALID_MODULES</formula1>
    </dataValidation>
    <dataValidation type="list" allowBlank="1" showInputMessage="1" showErrorMessage="1" sqref="H17:H160" xr:uid="{0904C995-A196-744D-B767-BB59FF99F03A}">
      <formula1>Module3Nodes</formula1>
    </dataValidation>
    <dataValidation type="list" allowBlank="1" showInputMessage="1" showErrorMessage="1" sqref="F17:F160" xr:uid="{6BA29947-4A0F-224F-ABD1-2433012AD423}">
      <formula1>DCC_Decoders</formula1>
    </dataValidation>
    <dataValidation type="list" allowBlank="1" showInputMessage="1" showErrorMessage="1" sqref="D5" xr:uid="{A328CF7F-19BA-FE4C-9F85-8F065B64D4F9}">
      <formula1>cpNode_Addresses</formula1>
    </dataValidation>
    <dataValidation type="list" allowBlank="1" showInputMessage="1" showErrorMessage="1" sqref="G17:G160" xr:uid="{65FCA476-877B-5C47-AD07-853FAE2387F6}">
      <formula1>JMRI_STATE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1DA0619-A634-3E44-BC06-5108363CA97A}">
          <x14:formula1>
            <xm:f>OFFSET('System Parameters'!$J$1, MATCH(B17,'System Parameters'!$J:$J,0)-1,1,COUNTIF('System Parameters'!$J:$J,B17),1)</xm:f>
          </x14:formula1>
          <xm:sqref>D17:D160</xm:sqref>
        </x14:dataValidation>
        <x14:dataValidation type="list" allowBlank="1" showInputMessage="1" showErrorMessage="1" xr:uid="{340FD688-C830-3E4A-98F7-13F00481E6D5}">
          <x14:formula1>
            <xm:f>OFFSET('System Parameters'!$N$1, MATCH(A6,'System Parameters'!$N:$N,0)-1,1,COUNTIF('System Parameters'!$N:$N,A6),1)</xm:f>
          </x14:formula1>
          <xm:sqref>D6:D14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FD3E-B9F9-9745-A50A-4EC1C0151606}">
  <dimension ref="A1:BK160"/>
  <sheetViews>
    <sheetView topLeftCell="B2" zoomScale="180" zoomScaleNormal="180" workbookViewId="0">
      <selection activeCell="P48" sqref="P48"/>
    </sheetView>
  </sheetViews>
  <sheetFormatPr baseColWidth="10" defaultColWidth="8.83203125" defaultRowHeight="15" x14ac:dyDescent="0.2"/>
  <cols>
    <col min="1" max="1" width="2.83203125" style="1" hidden="1" customWidth="1"/>
    <col min="2" max="2" width="10.83203125" style="1" customWidth="1"/>
    <col min="3" max="3" width="24" style="1" customWidth="1"/>
    <col min="4" max="4" width="22.6640625" style="1" customWidth="1"/>
    <col min="5" max="5" width="32.33203125" style="257" customWidth="1"/>
    <col min="6" max="7" width="8.33203125" style="1" customWidth="1"/>
    <col min="8" max="8" width="19.83203125" style="257" customWidth="1"/>
    <col min="9" max="9" width="8.33203125" style="257" customWidth="1"/>
    <col min="10" max="10" width="7.1640625" style="257" customWidth="1"/>
    <col min="11" max="11" width="8.83203125" style="257"/>
    <col min="12" max="12" width="10.5" style="257" customWidth="1"/>
    <col min="13" max="13" width="14.6640625" style="257" customWidth="1"/>
    <col min="14" max="14" width="29.1640625" style="1" customWidth="1"/>
    <col min="15" max="15" width="19.83203125" style="1" customWidth="1"/>
    <col min="16" max="16" width="21.5" style="1" customWidth="1"/>
    <col min="17" max="17" width="13.5" style="1" hidden="1" customWidth="1"/>
    <col min="18" max="21" width="0" style="1" hidden="1" customWidth="1"/>
    <col min="22" max="22" width="14.6640625" style="1" hidden="1" customWidth="1"/>
    <col min="23" max="23" width="10.33203125" style="1" hidden="1" customWidth="1"/>
    <col min="24" max="24" width="0.33203125" style="1" hidden="1" customWidth="1"/>
    <col min="25" max="16384" width="8.83203125" style="1"/>
  </cols>
  <sheetData>
    <row r="1" spans="1:24" ht="17" hidden="1" customHeight="1" x14ac:dyDescent="0.2"/>
    <row r="2" spans="1:24" ht="27" customHeight="1" thickBot="1" x14ac:dyDescent="0.25">
      <c r="B2" s="457" t="s">
        <v>202</v>
      </c>
      <c r="C2" s="458"/>
      <c r="D2" s="458"/>
      <c r="E2" s="458"/>
      <c r="F2" s="458"/>
      <c r="G2" s="458"/>
      <c r="H2" s="458"/>
      <c r="I2" s="458"/>
      <c r="J2" s="458"/>
      <c r="K2" s="458"/>
      <c r="L2" s="458"/>
      <c r="M2" s="458"/>
      <c r="N2" s="458"/>
      <c r="O2" s="458"/>
      <c r="P2" s="459"/>
      <c r="Q2" s="460" t="s">
        <v>203</v>
      </c>
      <c r="R2" s="423"/>
      <c r="S2" s="423"/>
      <c r="T2" s="423"/>
      <c r="U2" s="423"/>
      <c r="V2" s="423"/>
      <c r="W2" s="423"/>
      <c r="X2" s="424"/>
    </row>
    <row r="3" spans="1:24" ht="22" customHeight="1" thickBot="1" x14ac:dyDescent="0.25">
      <c r="B3" s="453" t="s">
        <v>204</v>
      </c>
      <c r="C3" s="454"/>
      <c r="D3" s="455"/>
      <c r="E3" s="447" t="s">
        <v>205</v>
      </c>
      <c r="F3" s="448"/>
      <c r="G3" s="326"/>
      <c r="H3" s="449" t="str">
        <f>"const long CMRINET_SPEED =  " &amp; CMRINET_BAUD_RATE &amp; ";"</f>
        <v>const long CMRINET_SPEED =  115200;</v>
      </c>
      <c r="I3" s="450"/>
      <c r="J3" s="450"/>
      <c r="K3" s="450"/>
      <c r="L3" s="451"/>
      <c r="M3" s="451"/>
      <c r="N3" s="452"/>
      <c r="O3" s="416" t="s">
        <v>495</v>
      </c>
      <c r="P3" s="417"/>
      <c r="Q3" s="270" t="str">
        <f t="shared" ref="Q3:Q10" si="0">IF(D7="-",D7,VLOOKUP(D7,IOXSketchTable,2,TRUE))</f>
        <v>ADDR 20-21</v>
      </c>
      <c r="R3" s="29" t="str">
        <f t="shared" ref="R3:R10" si="1">IF(D7="-",D7,VLOOKUP(D7,IOXSketchTable,3,TRUE))</f>
        <v>0, 0, 0, 0</v>
      </c>
      <c r="S3" s="29" t="b">
        <f>IF(Q3&lt;&gt;"-", TRUE, FALSE)</f>
        <v>1</v>
      </c>
      <c r="T3" s="29">
        <v>0</v>
      </c>
      <c r="U3" s="29" t="b">
        <f t="shared" ref="U3:U10" si="2">IF(D7&lt;&gt;"-",IF(LEFT(D6,5)="IOX32",FALSE,IF(VALUE(RIGHT(D7,1))&lt;&gt;T3,FALSE, TRUE)),TRUE)</f>
        <v>1</v>
      </c>
      <c r="V3" s="29" t="str">
        <f>"ADDR 20-21"</f>
        <v>ADDR 20-21</v>
      </c>
      <c r="W3" s="29" t="str">
        <f>"ADDR 20"</f>
        <v>ADDR 20</v>
      </c>
      <c r="X3" s="104" t="str">
        <f>IF(Q3=V3,LEFT(R3,4),IF(Q3=W3,R3,"-1, -1"))</f>
        <v>0, 0</v>
      </c>
    </row>
    <row r="4" spans="1:24" ht="22" customHeight="1" thickBot="1" x14ac:dyDescent="0.25">
      <c r="B4" s="445" t="s">
        <v>206</v>
      </c>
      <c r="C4" s="446"/>
      <c r="D4" s="56" t="str">
        <f ca="1">RIGHT(CELL("filename",A1),LEN(CELL("filename",A1))-FIND("]",CELL("filename",A1)))</f>
        <v>Node 4</v>
      </c>
      <c r="E4" s="434"/>
      <c r="F4" s="461"/>
      <c r="G4" s="327"/>
      <c r="H4" s="427" t="str">
        <f ca="1">"int nodeID = " &amp; $D$5 &amp; ";"</f>
        <v>int nodeID = 4;</v>
      </c>
      <c r="I4" s="428"/>
      <c r="J4" s="428"/>
      <c r="K4" s="428"/>
      <c r="L4" s="431" t="str">
        <f>IF($S$11,"#DEFINE USE_IOX","//#DEFINE USE_IOX")</f>
        <v>#DEFINE USE_IOX</v>
      </c>
      <c r="M4" s="431"/>
      <c r="N4" s="432"/>
      <c r="O4" s="418"/>
      <c r="P4" s="419"/>
      <c r="Q4" s="98" t="str">
        <f t="shared" si="0"/>
        <v>-</v>
      </c>
      <c r="R4" s="10" t="str">
        <f t="shared" si="1"/>
        <v>-</v>
      </c>
      <c r="S4" s="29" t="b">
        <f t="shared" ref="S4:S10" si="3">IF(Q4&lt;&gt;"-", TRUE, FALSE)</f>
        <v>0</v>
      </c>
      <c r="T4" s="10">
        <v>1</v>
      </c>
      <c r="U4" s="10" t="b">
        <f t="shared" si="2"/>
        <v>1</v>
      </c>
      <c r="V4" s="10"/>
      <c r="W4" s="10" t="str">
        <f>"ADDR 21"</f>
        <v>ADDR 21</v>
      </c>
      <c r="X4" s="92" t="str">
        <f>IF(Q3=V3,RIGHT(R3,4),IF(Q4=W4,R4,"-1, -1"))</f>
        <v>0, 0</v>
      </c>
    </row>
    <row r="5" spans="1:24" ht="22" customHeight="1" thickBot="1" x14ac:dyDescent="0.25">
      <c r="A5" s="1" t="s">
        <v>37</v>
      </c>
      <c r="B5" s="440" t="s">
        <v>207</v>
      </c>
      <c r="C5" s="441"/>
      <c r="D5" s="67">
        <f ca="1">VLOOKUP(D4, NODE_TABLE,2)</f>
        <v>4</v>
      </c>
      <c r="E5" s="436"/>
      <c r="F5" s="437"/>
      <c r="G5" s="328"/>
      <c r="H5" s="429" t="str">
        <f>"#DEFINE "&amp;$D$6</f>
        <v>#DEFINE BASE_NODE_16IN</v>
      </c>
      <c r="I5" s="430"/>
      <c r="J5" s="430"/>
      <c r="K5" s="430"/>
      <c r="L5" s="430" t="str">
        <f>"IOX_ioMap[max_IOX] = { "&amp; $X$3 &amp; ", " &amp; $X$4 &amp; ", " &amp; $X$5 &amp; ", " &amp; $X$6 &amp; ", " &amp; $X$7 &amp; ", " &amp; $X$8 &amp; ", " &amp; $X$9 &amp; ", " &amp; $X$10 &amp; " };"</f>
        <v>IOX_ioMap[max_IOX] = { 0, 0, 0, 0, -1, -1, -1, -1, -1, -1, -1, -1, -1, -1, -1, -1 };</v>
      </c>
      <c r="M5" s="430"/>
      <c r="N5" s="433"/>
      <c r="O5" s="420"/>
      <c r="P5" s="421"/>
      <c r="Q5" s="98" t="str">
        <f t="shared" si="0"/>
        <v>-</v>
      </c>
      <c r="R5" s="10" t="str">
        <f t="shared" si="1"/>
        <v>-</v>
      </c>
      <c r="S5" s="29" t="b">
        <f t="shared" si="3"/>
        <v>0</v>
      </c>
      <c r="T5" s="10">
        <v>2</v>
      </c>
      <c r="U5" s="10" t="b">
        <f t="shared" si="2"/>
        <v>1</v>
      </c>
      <c r="V5" s="10" t="str">
        <f>"ADDR 22-23"</f>
        <v>ADDR 22-23</v>
      </c>
      <c r="W5" s="10" t="str">
        <f>"ADDR 22"</f>
        <v>ADDR 22</v>
      </c>
      <c r="X5" s="92" t="str">
        <f>IF(Q5=V5,LEFT(R5,4),IF(Q5=W5,R5,"-1, -1"))</f>
        <v>-1, -1</v>
      </c>
    </row>
    <row r="6" spans="1:24" ht="22" customHeight="1" x14ac:dyDescent="0.2">
      <c r="A6" s="1" t="s">
        <v>12</v>
      </c>
      <c r="B6" s="105" t="str">
        <f>"IOX ADDR"</f>
        <v>IOX ADDR</v>
      </c>
      <c r="C6" s="80" t="s">
        <v>208</v>
      </c>
      <c r="D6" s="69" t="s">
        <v>13</v>
      </c>
      <c r="E6" s="74" t="s">
        <v>209</v>
      </c>
      <c r="F6" s="88">
        <f t="shared" ref="F6:F14" si="4">IF(LEFT(D6,4)="BASE",16,IF(LEFT(D6,3)="IOX",VALUE(MID(D6,4,2)),0))</f>
        <v>16</v>
      </c>
      <c r="G6" s="330"/>
      <c r="H6" s="109" t="s">
        <v>210</v>
      </c>
      <c r="I6" s="110" t="s">
        <v>76</v>
      </c>
      <c r="J6" s="110" t="s">
        <v>77</v>
      </c>
      <c r="K6" s="110" t="s">
        <v>78</v>
      </c>
      <c r="L6" s="111" t="s">
        <v>38</v>
      </c>
      <c r="M6" s="112" t="s">
        <v>211</v>
      </c>
      <c r="N6" s="103" t="str">
        <f>IF(U11=FALSE,"IOX Addressing Error",IF(OR(M7&gt;144,M11&lt;0),"Too Many IOX Modules","Looks Good"))</f>
        <v>Looks Good</v>
      </c>
      <c r="O6" s="280" t="s">
        <v>707</v>
      </c>
      <c r="P6" s="282">
        <f t="shared" ref="P6:P12" si="5">COUNTIF($C$17:$C$160,$O6)</f>
        <v>0</v>
      </c>
      <c r="Q6" s="98" t="str">
        <f t="shared" si="0"/>
        <v>-</v>
      </c>
      <c r="R6" s="10" t="str">
        <f t="shared" si="1"/>
        <v>-</v>
      </c>
      <c r="S6" s="29" t="b">
        <f t="shared" si="3"/>
        <v>0</v>
      </c>
      <c r="T6" s="10">
        <v>3</v>
      </c>
      <c r="U6" s="10" t="b">
        <f t="shared" si="2"/>
        <v>1</v>
      </c>
      <c r="V6" s="10"/>
      <c r="W6" s="10" t="str">
        <f>"ADDR 23"</f>
        <v>ADDR 23</v>
      </c>
      <c r="X6" s="92" t="str">
        <f>IF(Q5=V5,RIGHT(R5,4),IF(Q6=W6,R6,"-1, -1"))</f>
        <v>-1, -1</v>
      </c>
    </row>
    <row r="7" spans="1:24" ht="22" customHeight="1" x14ac:dyDescent="0.2">
      <c r="A7" s="1" t="s">
        <v>16</v>
      </c>
      <c r="B7" s="70" t="s">
        <v>212</v>
      </c>
      <c r="C7" s="411" t="s">
        <v>213</v>
      </c>
      <c r="D7" s="68" t="s">
        <v>17</v>
      </c>
      <c r="E7" s="75" t="str">
        <f>" Total IOX ("&amp;B7&amp;") I/O ="</f>
        <v xml:space="preserve"> Total IOX (0x20) I/O =</v>
      </c>
      <c r="F7" s="89">
        <f t="shared" si="4"/>
        <v>32</v>
      </c>
      <c r="G7" s="331"/>
      <c r="H7" s="96" t="str">
        <f>IF($L7&lt;&gt;"n/a",VLOOKUP($L7,IOXJumperConfiguration,2,TRUE),$L7)</f>
        <v>ADDR 20-21</v>
      </c>
      <c r="I7" s="10" t="str">
        <f t="shared" ref="I7:I14" si="6">IF($L7&lt;&gt;"n/a",VLOOKUP($L7,IOXJumperConfiguration,3,TRUE),$L7)</f>
        <v>n/a</v>
      </c>
      <c r="J7" s="10" t="str">
        <f t="shared" ref="J7:J14" si="7">IF($L7&lt;&gt;"n/a",VLOOKUP($L7,IOXJumperConfiguration,4,TRUE),$L7)</f>
        <v>Out</v>
      </c>
      <c r="K7" s="10" t="str">
        <f t="shared" ref="K7:K14" si="8">IF($L7&lt;&gt;"n/a",VLOOKUP($L7,IOXJumperConfiguration,5,TRUE),$L7)</f>
        <v>Out</v>
      </c>
      <c r="L7" s="101" t="str">
        <f t="shared" ref="L7:L14" si="9">IF(LEFT($D7,3)="IOX", LEFT($D7,5)&amp;RIGHT($D7,2), "n/a")</f>
        <v>IOX32_0</v>
      </c>
      <c r="M7" s="98">
        <f>SUM($F$6:$F$14)</f>
        <v>48</v>
      </c>
      <c r="N7" s="81" t="s">
        <v>214</v>
      </c>
      <c r="O7" s="280" t="s">
        <v>708</v>
      </c>
      <c r="P7" s="282">
        <f t="shared" si="5"/>
        <v>0</v>
      </c>
      <c r="Q7" s="98" t="str">
        <f t="shared" si="0"/>
        <v>-</v>
      </c>
      <c r="R7" s="10" t="str">
        <f t="shared" si="1"/>
        <v>-</v>
      </c>
      <c r="S7" s="29" t="b">
        <f t="shared" si="3"/>
        <v>0</v>
      </c>
      <c r="T7" s="10">
        <v>4</v>
      </c>
      <c r="U7" s="10" t="b">
        <f t="shared" si="2"/>
        <v>1</v>
      </c>
      <c r="V7" s="10" t="str">
        <f>"ADDR 24-25"</f>
        <v>ADDR 24-25</v>
      </c>
      <c r="W7" s="10" t="str">
        <f>"ADDR 24"</f>
        <v>ADDR 24</v>
      </c>
      <c r="X7" s="92" t="str">
        <f>IF(Q7=V7,LEFT(R7,4),IF(Q7=W7,R7,"-1, -1"))</f>
        <v>-1, -1</v>
      </c>
    </row>
    <row r="8" spans="1:24" ht="22" customHeight="1" x14ac:dyDescent="0.2">
      <c r="A8" s="1" t="s">
        <v>16</v>
      </c>
      <c r="B8" s="70" t="s">
        <v>215</v>
      </c>
      <c r="C8" s="411"/>
      <c r="D8" s="68" t="s">
        <v>74</v>
      </c>
      <c r="E8" s="75" t="str">
        <f t="shared" ref="E8:E14" si="10">" Total IOX ("&amp;B8&amp;") I/O ="</f>
        <v xml:space="preserve"> Total IOX (0x21) I/O =</v>
      </c>
      <c r="F8" s="89">
        <f t="shared" si="4"/>
        <v>0</v>
      </c>
      <c r="G8" s="331"/>
      <c r="H8" s="96" t="str">
        <f t="shared" ref="H8:H14" si="11">IF(L8&lt;&gt;"n/a",VLOOKUP(L8,IOXJumperConfiguration,2,TRUE),L8)</f>
        <v>n/a</v>
      </c>
      <c r="I8" s="72" t="str">
        <f t="shared" si="6"/>
        <v>n/a</v>
      </c>
      <c r="J8" s="72" t="str">
        <f t="shared" si="7"/>
        <v>n/a</v>
      </c>
      <c r="K8" s="72" t="str">
        <f t="shared" si="8"/>
        <v>n/a</v>
      </c>
      <c r="L8" s="92" t="str">
        <f t="shared" si="9"/>
        <v>n/a</v>
      </c>
      <c r="M8" s="99">
        <f>COUNTIF(D7:D14,"IOX16*")*2</f>
        <v>0</v>
      </c>
      <c r="N8" s="81" t="s">
        <v>216</v>
      </c>
      <c r="O8" s="280" t="s">
        <v>703</v>
      </c>
      <c r="P8" s="282">
        <f t="shared" si="5"/>
        <v>0</v>
      </c>
      <c r="Q8" s="98" t="str">
        <f t="shared" si="0"/>
        <v>-</v>
      </c>
      <c r="R8" s="10" t="str">
        <f t="shared" si="1"/>
        <v>-</v>
      </c>
      <c r="S8" s="29" t="b">
        <f t="shared" si="3"/>
        <v>0</v>
      </c>
      <c r="T8" s="10">
        <v>5</v>
      </c>
      <c r="U8" s="10" t="b">
        <f t="shared" si="2"/>
        <v>1</v>
      </c>
      <c r="V8" s="10"/>
      <c r="W8" s="10" t="str">
        <f>"ADDR 25"</f>
        <v>ADDR 25</v>
      </c>
      <c r="X8" s="92" t="str">
        <f>IF(Q7=V7,RIGHT(R7,4),IF(Q8=W8,R8,"-1, -1"))</f>
        <v>-1, -1</v>
      </c>
    </row>
    <row r="9" spans="1:24" ht="22" customHeight="1" x14ac:dyDescent="0.2">
      <c r="A9" s="1" t="s">
        <v>16</v>
      </c>
      <c r="B9" s="70" t="s">
        <v>217</v>
      </c>
      <c r="C9" s="411"/>
      <c r="D9" s="68" t="s">
        <v>74</v>
      </c>
      <c r="E9" s="75" t="str">
        <f t="shared" si="10"/>
        <v xml:space="preserve"> Total IOX (0x22) I/O =</v>
      </c>
      <c r="F9" s="89">
        <f t="shared" si="4"/>
        <v>0</v>
      </c>
      <c r="G9" s="331"/>
      <c r="H9" s="96" t="str">
        <f t="shared" si="11"/>
        <v>n/a</v>
      </c>
      <c r="I9" s="72" t="str">
        <f t="shared" si="6"/>
        <v>n/a</v>
      </c>
      <c r="J9" s="72" t="str">
        <f t="shared" si="7"/>
        <v>n/a</v>
      </c>
      <c r="K9" s="72" t="str">
        <f t="shared" si="8"/>
        <v>n/a</v>
      </c>
      <c r="L9" s="92" t="str">
        <f t="shared" si="9"/>
        <v>n/a</v>
      </c>
      <c r="M9" s="99">
        <f>COUNTIF(D7:D14,"IOX32*")*4</f>
        <v>4</v>
      </c>
      <c r="N9" s="95" t="s">
        <v>218</v>
      </c>
      <c r="O9" s="280" t="s">
        <v>704</v>
      </c>
      <c r="P9" s="282">
        <f t="shared" si="5"/>
        <v>0</v>
      </c>
      <c r="Q9" s="98" t="str">
        <f t="shared" si="0"/>
        <v>-</v>
      </c>
      <c r="R9" s="10" t="str">
        <f t="shared" si="1"/>
        <v>-</v>
      </c>
      <c r="S9" s="29" t="b">
        <f t="shared" si="3"/>
        <v>0</v>
      </c>
      <c r="T9" s="10">
        <v>6</v>
      </c>
      <c r="U9" s="10" t="b">
        <f t="shared" si="2"/>
        <v>1</v>
      </c>
      <c r="V9" s="10" t="str">
        <f>"ADDR 26-27"</f>
        <v>ADDR 26-27</v>
      </c>
      <c r="W9" s="10" t="str">
        <f>"ADDR 26"</f>
        <v>ADDR 26</v>
      </c>
      <c r="X9" s="92" t="str">
        <f>IF(Q9=V9,LEFT(R9,4),IF(Q9=W9,R9,"-1, -1"))</f>
        <v>-1, -1</v>
      </c>
    </row>
    <row r="10" spans="1:24" ht="22" customHeight="1" x14ac:dyDescent="0.2">
      <c r="A10" s="1" t="s">
        <v>16</v>
      </c>
      <c r="B10" s="70" t="s">
        <v>219</v>
      </c>
      <c r="C10" s="411"/>
      <c r="D10" s="68" t="s">
        <v>74</v>
      </c>
      <c r="E10" s="75" t="str">
        <f t="shared" si="10"/>
        <v xml:space="preserve"> Total IOX (0x23) I/O =</v>
      </c>
      <c r="F10" s="89">
        <f t="shared" si="4"/>
        <v>0</v>
      </c>
      <c r="G10" s="331"/>
      <c r="H10" s="96" t="str">
        <f t="shared" si="11"/>
        <v>n/a</v>
      </c>
      <c r="I10" s="72" t="str">
        <f t="shared" si="6"/>
        <v>n/a</v>
      </c>
      <c r="J10" s="72" t="str">
        <f t="shared" si="7"/>
        <v>n/a</v>
      </c>
      <c r="K10" s="72" t="str">
        <f t="shared" si="8"/>
        <v>n/a</v>
      </c>
      <c r="L10" s="92" t="str">
        <f t="shared" si="9"/>
        <v>n/a</v>
      </c>
      <c r="M10" s="99">
        <f>4*4</f>
        <v>16</v>
      </c>
      <c r="N10" s="95" t="s">
        <v>220</v>
      </c>
      <c r="O10" s="280" t="s">
        <v>705</v>
      </c>
      <c r="P10" s="282">
        <f t="shared" si="5"/>
        <v>0</v>
      </c>
      <c r="Q10" s="98" t="str">
        <f t="shared" si="0"/>
        <v>-</v>
      </c>
      <c r="R10" s="10" t="str">
        <f t="shared" si="1"/>
        <v>-</v>
      </c>
      <c r="S10" s="29" t="b">
        <f t="shared" si="3"/>
        <v>0</v>
      </c>
      <c r="T10" s="10">
        <v>7</v>
      </c>
      <c r="U10" s="10" t="b">
        <f t="shared" si="2"/>
        <v>1</v>
      </c>
      <c r="V10" s="10"/>
      <c r="W10" s="10" t="str">
        <f>"ADDR 27"</f>
        <v>ADDR 27</v>
      </c>
      <c r="X10" s="92" t="str">
        <f>IF(Q9=V9,RIGHT(R9,4),IF(Q10=W10,R10,"-1, -1"))</f>
        <v>-1, -1</v>
      </c>
    </row>
    <row r="11" spans="1:24" ht="22" customHeight="1" thickBot="1" x14ac:dyDescent="0.25">
      <c r="A11" s="1" t="s">
        <v>16</v>
      </c>
      <c r="B11" s="70" t="s">
        <v>221</v>
      </c>
      <c r="C11" s="411"/>
      <c r="D11" s="68" t="s">
        <v>74</v>
      </c>
      <c r="E11" s="75" t="str">
        <f t="shared" si="10"/>
        <v xml:space="preserve"> Total IOX (0x24) I/O =</v>
      </c>
      <c r="F11" s="89">
        <f t="shared" si="4"/>
        <v>0</v>
      </c>
      <c r="G11" s="331"/>
      <c r="H11" s="96" t="str">
        <f t="shared" si="11"/>
        <v>n/a</v>
      </c>
      <c r="I11" s="72" t="str">
        <f t="shared" si="6"/>
        <v>n/a</v>
      </c>
      <c r="J11" s="72" t="str">
        <f t="shared" si="7"/>
        <v>n/a</v>
      </c>
      <c r="K11" s="72" t="str">
        <f t="shared" si="8"/>
        <v>n/a</v>
      </c>
      <c r="L11" s="92" t="str">
        <f t="shared" si="9"/>
        <v>n/a</v>
      </c>
      <c r="M11" s="99">
        <f>M10-M8-M9</f>
        <v>12</v>
      </c>
      <c r="N11" s="95" t="s">
        <v>222</v>
      </c>
      <c r="O11" s="280" t="s">
        <v>706</v>
      </c>
      <c r="P11" s="282">
        <f t="shared" si="5"/>
        <v>22</v>
      </c>
      <c r="Q11" s="271"/>
      <c r="R11" s="107" t="s">
        <v>223</v>
      </c>
      <c r="S11" s="106" t="b">
        <f>OR(S3:S10)</f>
        <v>1</v>
      </c>
      <c r="T11" s="7"/>
      <c r="U11" s="106" t="b">
        <f>AND(U3:U10)</f>
        <v>1</v>
      </c>
      <c r="V11" s="106"/>
      <c r="W11" s="106"/>
      <c r="X11" s="108"/>
    </row>
    <row r="12" spans="1:24" ht="22" customHeight="1" x14ac:dyDescent="0.2">
      <c r="A12" s="1" t="s">
        <v>16</v>
      </c>
      <c r="B12" s="70" t="s">
        <v>224</v>
      </c>
      <c r="C12" s="411"/>
      <c r="D12" s="68" t="s">
        <v>74</v>
      </c>
      <c r="E12" s="75" t="str">
        <f t="shared" si="10"/>
        <v xml:space="preserve"> Total IOX (0x25) I/O =</v>
      </c>
      <c r="F12" s="89">
        <f t="shared" si="4"/>
        <v>0</v>
      </c>
      <c r="G12" s="331"/>
      <c r="H12" s="96" t="str">
        <f t="shared" si="11"/>
        <v>n/a</v>
      </c>
      <c r="I12" s="72" t="str">
        <f t="shared" si="6"/>
        <v>n/a</v>
      </c>
      <c r="J12" s="72" t="str">
        <f t="shared" si="7"/>
        <v>n/a</v>
      </c>
      <c r="K12" s="72" t="str">
        <f t="shared" si="8"/>
        <v>n/a</v>
      </c>
      <c r="L12" s="92" t="str">
        <f t="shared" si="9"/>
        <v>n/a</v>
      </c>
      <c r="M12" s="99">
        <f>FLOOR(M11/2,1)</f>
        <v>6</v>
      </c>
      <c r="N12" s="95" t="s">
        <v>225</v>
      </c>
      <c r="O12" s="280" t="s">
        <v>135</v>
      </c>
      <c r="P12" s="282">
        <f t="shared" si="5"/>
        <v>122</v>
      </c>
    </row>
    <row r="13" spans="1:24" ht="22" customHeight="1" x14ac:dyDescent="0.2">
      <c r="A13" s="1" t="s">
        <v>16</v>
      </c>
      <c r="B13" s="70" t="s">
        <v>226</v>
      </c>
      <c r="C13" s="411"/>
      <c r="D13" s="68" t="s">
        <v>74</v>
      </c>
      <c r="E13" s="75" t="str">
        <f t="shared" si="10"/>
        <v xml:space="preserve"> Total IOX (0x26) I/O =</v>
      </c>
      <c r="F13" s="89">
        <f t="shared" si="4"/>
        <v>0</v>
      </c>
      <c r="G13" s="331"/>
      <c r="H13" s="96" t="str">
        <f t="shared" si="11"/>
        <v>n/a</v>
      </c>
      <c r="I13" s="72" t="str">
        <f t="shared" si="6"/>
        <v>n/a</v>
      </c>
      <c r="J13" s="72" t="str">
        <f t="shared" si="7"/>
        <v>n/a</v>
      </c>
      <c r="K13" s="72" t="str">
        <f t="shared" si="8"/>
        <v>n/a</v>
      </c>
      <c r="L13" s="92" t="str">
        <f t="shared" si="9"/>
        <v>n/a</v>
      </c>
      <c r="M13" s="99">
        <f>FLOOR(M11/4,1)</f>
        <v>3</v>
      </c>
      <c r="N13" s="95" t="s">
        <v>227</v>
      </c>
      <c r="O13" s="280" t="s">
        <v>685</v>
      </c>
      <c r="P13" s="282">
        <f>SUM(P6:P12)</f>
        <v>144</v>
      </c>
    </row>
    <row r="14" spans="1:24" ht="22" customHeight="1" thickBot="1" x14ac:dyDescent="0.25">
      <c r="A14" s="1" t="s">
        <v>16</v>
      </c>
      <c r="B14" s="260" t="s">
        <v>228</v>
      </c>
      <c r="C14" s="456"/>
      <c r="D14" s="261" t="s">
        <v>74</v>
      </c>
      <c r="E14" s="262" t="str">
        <f t="shared" si="10"/>
        <v xml:space="preserve"> Total IOX (0x27) I/O =</v>
      </c>
      <c r="F14" s="263">
        <f t="shared" si="4"/>
        <v>0</v>
      </c>
      <c r="G14" s="333"/>
      <c r="H14" s="264" t="str">
        <f t="shared" si="11"/>
        <v>n/a</v>
      </c>
      <c r="I14" s="265" t="str">
        <f t="shared" si="6"/>
        <v>n/a</v>
      </c>
      <c r="J14" s="265" t="str">
        <f t="shared" si="7"/>
        <v>n/a</v>
      </c>
      <c r="K14" s="265" t="str">
        <f t="shared" si="8"/>
        <v>n/a</v>
      </c>
      <c r="L14" s="266" t="str">
        <f t="shared" si="9"/>
        <v>n/a</v>
      </c>
      <c r="M14" s="267"/>
      <c r="N14" s="268"/>
      <c r="O14" s="281"/>
      <c r="P14" s="283"/>
    </row>
    <row r="15" spans="1:24" s="2" customFormat="1" ht="27" customHeight="1" thickBot="1" x14ac:dyDescent="0.25">
      <c r="B15" s="413" t="s">
        <v>552</v>
      </c>
      <c r="C15" s="414"/>
      <c r="D15" s="414"/>
      <c r="E15" s="414"/>
      <c r="F15" s="414"/>
      <c r="G15" s="414"/>
      <c r="H15" s="414"/>
      <c r="I15" s="414"/>
      <c r="J15" s="414"/>
      <c r="K15" s="414"/>
      <c r="L15" s="414"/>
      <c r="M15" s="414"/>
      <c r="N15" s="414"/>
      <c r="O15" s="414"/>
      <c r="P15" s="415"/>
    </row>
    <row r="16" spans="1:24"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row>
    <row r="17" spans="1:63" s="3" customFormat="1" x14ac:dyDescent="0.2">
      <c r="A17" s="150"/>
      <c r="B17" s="255" t="s">
        <v>46</v>
      </c>
      <c r="C17" s="311" t="s">
        <v>706</v>
      </c>
      <c r="D17" s="256" t="s">
        <v>786</v>
      </c>
      <c r="E17" s="320" t="str">
        <f>IF(P17="-",P17,_xlfn.CONCAT(C17,":",P17))</f>
        <v>CTC_OS_RIGHT:OME:TS1</v>
      </c>
      <c r="F17" s="256" t="s">
        <v>74</v>
      </c>
      <c r="G17" s="325" t="s">
        <v>783</v>
      </c>
      <c r="H17" s="256" t="s">
        <v>13</v>
      </c>
      <c r="I17" s="254">
        <f>IF(LEFT(H17,4)="BASE",0,IF(LEFT(H17,3)="IOX", VALUE(MID(H17,4,2))*VALUE(RIGHT(H17,1)),0))</f>
        <v>0</v>
      </c>
      <c r="J17" s="5">
        <f t="shared" ref="J17:J64" si="12">IF(AND(H17=H16,B17=B16), J16+1,1)</f>
        <v>1</v>
      </c>
      <c r="K17" s="15" t="str">
        <f t="shared" ref="K17:K80" si="13">VLOOKUP(H17,nodeDevicePinConfigTable,3+J17+(IF(B17="IN",0,1)*VLOOKUP(H17,nodeDevicePinConfigTable,2,TRUE)),TRUE)</f>
        <v>D4</v>
      </c>
      <c r="L17" s="15" t="str">
        <f t="shared" ref="L17:L80" si="14">VLOOKUP(H17,nodeJMRIPinConfigTable,3+J17+(IF(B17="IN",0,1)*VLOOKUP(H17,nodeJMRIPinConfigTable,2,TRUE)),TRUE)</f>
        <v>CSn001</v>
      </c>
      <c r="M17" s="15" t="str">
        <f t="shared" ref="M17:M80" ca="1" si="15">CONCATENATE(LEFT(L17,2),$D$5*1000+VALUE(RIGHT(L17,3)+I17))</f>
        <v>CS4001</v>
      </c>
      <c r="N17" s="226" t="s">
        <v>565</v>
      </c>
      <c r="O17" s="275"/>
      <c r="P17" s="320" t="s">
        <v>714</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row>
    <row r="18" spans="1:63" x14ac:dyDescent="0.2">
      <c r="A18" s="147"/>
      <c r="B18" s="152" t="s">
        <v>46</v>
      </c>
      <c r="C18" s="230" t="s">
        <v>706</v>
      </c>
      <c r="D18" s="230" t="s">
        <v>786</v>
      </c>
      <c r="E18" s="315" t="str">
        <f t="shared" ref="E18:E81" si="16">IF(P18="-",P18,_xlfn.CONCAT(C18,":",P18))</f>
        <v>CTC_OS_RIGHT:OME:TS2</v>
      </c>
      <c r="F18" s="230" t="s">
        <v>74</v>
      </c>
      <c r="G18" s="230" t="s">
        <v>783</v>
      </c>
      <c r="H18" s="230" t="s">
        <v>13</v>
      </c>
      <c r="I18" s="10">
        <f t="shared" ref="I18:I81" si="17">IF(LEFT(H18,4)="BASE",0,IF(LEFT(H18,3)="IOX", VALUE(MID(H18,4,2))*VALUE(RIGHT(H18,1)),0))</f>
        <v>0</v>
      </c>
      <c r="J18" s="6">
        <f t="shared" si="12"/>
        <v>2</v>
      </c>
      <c r="K18" s="16" t="str">
        <f t="shared" si="13"/>
        <v>D5</v>
      </c>
      <c r="L18" s="16" t="str">
        <f t="shared" si="14"/>
        <v>CSn002</v>
      </c>
      <c r="M18" s="16" t="str">
        <f t="shared" ca="1" si="15"/>
        <v>CS4002</v>
      </c>
      <c r="N18" s="227" t="s">
        <v>566</v>
      </c>
      <c r="O18" s="276"/>
      <c r="P18" s="315" t="s">
        <v>715</v>
      </c>
    </row>
    <row r="19" spans="1:63" x14ac:dyDescent="0.2">
      <c r="A19" s="147"/>
      <c r="B19" s="152" t="s">
        <v>46</v>
      </c>
      <c r="C19" s="230" t="s">
        <v>135</v>
      </c>
      <c r="D19" s="230" t="s">
        <v>135</v>
      </c>
      <c r="E19" s="315" t="str">
        <f t="shared" si="16"/>
        <v>-</v>
      </c>
      <c r="F19" s="230" t="s">
        <v>74</v>
      </c>
      <c r="G19" s="230"/>
      <c r="H19" s="230" t="s">
        <v>13</v>
      </c>
      <c r="I19" s="10">
        <f t="shared" si="17"/>
        <v>0</v>
      </c>
      <c r="J19" s="6">
        <f t="shared" si="12"/>
        <v>3</v>
      </c>
      <c r="K19" s="16" t="str">
        <f t="shared" si="13"/>
        <v>D6</v>
      </c>
      <c r="L19" s="16" t="str">
        <f t="shared" si="14"/>
        <v>CSn003</v>
      </c>
      <c r="M19" s="16" t="str">
        <f t="shared" ca="1" si="15"/>
        <v>CS4003</v>
      </c>
      <c r="N19" s="227"/>
      <c r="O19" s="276"/>
      <c r="P19" s="315" t="s">
        <v>74</v>
      </c>
    </row>
    <row r="20" spans="1:63" x14ac:dyDescent="0.2">
      <c r="A20" s="147"/>
      <c r="B20" s="152" t="s">
        <v>46</v>
      </c>
      <c r="C20" s="230" t="s">
        <v>135</v>
      </c>
      <c r="D20" s="230" t="s">
        <v>135</v>
      </c>
      <c r="E20" s="315" t="str">
        <f t="shared" si="16"/>
        <v>-</v>
      </c>
      <c r="F20" s="230" t="s">
        <v>74</v>
      </c>
      <c r="G20" s="230"/>
      <c r="H20" s="230" t="s">
        <v>13</v>
      </c>
      <c r="I20" s="10">
        <f t="shared" si="17"/>
        <v>0</v>
      </c>
      <c r="J20" s="6">
        <f t="shared" si="12"/>
        <v>4</v>
      </c>
      <c r="K20" s="16" t="str">
        <f t="shared" si="13"/>
        <v>D7</v>
      </c>
      <c r="L20" s="16" t="str">
        <f t="shared" si="14"/>
        <v>CSn004</v>
      </c>
      <c r="M20" s="16" t="str">
        <f t="shared" ca="1" si="15"/>
        <v>CS4004</v>
      </c>
      <c r="N20" s="227"/>
      <c r="O20" s="276"/>
      <c r="P20" s="315" t="s">
        <v>74</v>
      </c>
    </row>
    <row r="21" spans="1:63" x14ac:dyDescent="0.2">
      <c r="A21" s="147"/>
      <c r="B21" s="152" t="s">
        <v>46</v>
      </c>
      <c r="C21" s="230" t="s">
        <v>706</v>
      </c>
      <c r="D21" s="230" t="s">
        <v>786</v>
      </c>
      <c r="E21" s="315" t="str">
        <f t="shared" ref="E21:E22" si="18">IF(P21="-",P21,_xlfn.CONCAT(C21,":",P21))</f>
        <v>CTC_OS_RIGHT:IMW:TS1</v>
      </c>
      <c r="F21" s="230" t="s">
        <v>74</v>
      </c>
      <c r="G21" s="230" t="s">
        <v>783</v>
      </c>
      <c r="H21" s="230" t="s">
        <v>13</v>
      </c>
      <c r="I21" s="10">
        <f t="shared" si="17"/>
        <v>0</v>
      </c>
      <c r="J21" s="6">
        <f t="shared" si="12"/>
        <v>5</v>
      </c>
      <c r="K21" s="16" t="str">
        <f t="shared" si="13"/>
        <v>D8</v>
      </c>
      <c r="L21" s="16" t="str">
        <f t="shared" si="14"/>
        <v>CSn005</v>
      </c>
      <c r="M21" s="16" t="str">
        <f t="shared" ca="1" si="15"/>
        <v>CS4005</v>
      </c>
      <c r="N21" s="227" t="s">
        <v>567</v>
      </c>
      <c r="O21" s="276"/>
      <c r="P21" s="315" t="s">
        <v>742</v>
      </c>
    </row>
    <row r="22" spans="1:63" s="4" customFormat="1" ht="16" thickBot="1" x14ac:dyDescent="0.25">
      <c r="A22" s="147"/>
      <c r="B22" s="152" t="s">
        <v>46</v>
      </c>
      <c r="C22" s="230" t="s">
        <v>135</v>
      </c>
      <c r="D22" s="230" t="s">
        <v>135</v>
      </c>
      <c r="E22" s="315" t="str">
        <f t="shared" si="18"/>
        <v>-</v>
      </c>
      <c r="F22" s="230" t="s">
        <v>74</v>
      </c>
      <c r="G22" s="230"/>
      <c r="H22" s="230" t="s">
        <v>13</v>
      </c>
      <c r="I22" s="10">
        <f t="shared" si="17"/>
        <v>0</v>
      </c>
      <c r="J22" s="6">
        <f t="shared" si="12"/>
        <v>6</v>
      </c>
      <c r="K22" s="16" t="str">
        <f t="shared" si="13"/>
        <v>D9</v>
      </c>
      <c r="L22" s="16" t="str">
        <f t="shared" si="14"/>
        <v>CSn006</v>
      </c>
      <c r="M22" s="16" t="str">
        <f t="shared" ca="1" si="15"/>
        <v>CS4006</v>
      </c>
      <c r="N22" s="227"/>
      <c r="O22" s="276"/>
      <c r="P22" s="315" t="s">
        <v>74</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s="3" customFormat="1" x14ac:dyDescent="0.2">
      <c r="A23" s="147"/>
      <c r="B23" s="152" t="s">
        <v>46</v>
      </c>
      <c r="C23" s="230" t="s">
        <v>135</v>
      </c>
      <c r="D23" s="230" t="s">
        <v>135</v>
      </c>
      <c r="E23" s="315" t="str">
        <f t="shared" si="16"/>
        <v>-</v>
      </c>
      <c r="F23" s="230" t="s">
        <v>74</v>
      </c>
      <c r="G23" s="230"/>
      <c r="H23" s="230" t="s">
        <v>13</v>
      </c>
      <c r="I23" s="10">
        <f t="shared" si="17"/>
        <v>0</v>
      </c>
      <c r="J23" s="6">
        <f t="shared" si="12"/>
        <v>7</v>
      </c>
      <c r="K23" s="16" t="str">
        <f t="shared" si="13"/>
        <v>D10</v>
      </c>
      <c r="L23" s="16" t="str">
        <f t="shared" si="14"/>
        <v>CSn007</v>
      </c>
      <c r="M23" s="16" t="str">
        <f t="shared" ca="1" si="15"/>
        <v>CS4007</v>
      </c>
      <c r="N23" s="227"/>
      <c r="O23" s="276"/>
      <c r="P23" s="315" t="s">
        <v>74</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x14ac:dyDescent="0.2">
      <c r="A24" s="147"/>
      <c r="B24" s="152" t="s">
        <v>46</v>
      </c>
      <c r="C24" s="230" t="s">
        <v>135</v>
      </c>
      <c r="D24" s="230" t="s">
        <v>135</v>
      </c>
      <c r="E24" s="315" t="str">
        <f t="shared" si="16"/>
        <v>-</v>
      </c>
      <c r="F24" s="230" t="s">
        <v>74</v>
      </c>
      <c r="G24" s="230"/>
      <c r="H24" s="230" t="s">
        <v>13</v>
      </c>
      <c r="I24" s="10">
        <f t="shared" si="17"/>
        <v>0</v>
      </c>
      <c r="J24" s="6">
        <f t="shared" si="12"/>
        <v>8</v>
      </c>
      <c r="K24" s="16" t="str">
        <f t="shared" si="13"/>
        <v>D11</v>
      </c>
      <c r="L24" s="16" t="str">
        <f t="shared" si="14"/>
        <v>CSn008</v>
      </c>
      <c r="M24" s="16" t="str">
        <f t="shared" ca="1" si="15"/>
        <v>CS4008</v>
      </c>
      <c r="N24" s="227"/>
      <c r="O24" s="276"/>
      <c r="P24" s="315" t="s">
        <v>74</v>
      </c>
    </row>
    <row r="25" spans="1:63" x14ac:dyDescent="0.2">
      <c r="A25" s="147"/>
      <c r="B25" s="152" t="s">
        <v>46</v>
      </c>
      <c r="C25" s="230" t="s">
        <v>706</v>
      </c>
      <c r="D25" s="230" t="s">
        <v>711</v>
      </c>
      <c r="E25" s="315" t="str">
        <f t="shared" si="16"/>
        <v>CTC_OS_RIGHT:TO_RSR</v>
      </c>
      <c r="F25" s="230" t="s">
        <v>74</v>
      </c>
      <c r="G25" s="230" t="s">
        <v>782</v>
      </c>
      <c r="H25" s="230" t="s">
        <v>13</v>
      </c>
      <c r="I25" s="10">
        <f t="shared" si="17"/>
        <v>0</v>
      </c>
      <c r="J25" s="6">
        <f t="shared" si="12"/>
        <v>9</v>
      </c>
      <c r="K25" s="16" t="str">
        <f t="shared" si="13"/>
        <v>D12</v>
      </c>
      <c r="L25" s="16" t="str">
        <f t="shared" si="14"/>
        <v>CSn009</v>
      </c>
      <c r="M25" s="16" t="str">
        <f t="shared" ca="1" si="15"/>
        <v>CS4009</v>
      </c>
      <c r="N25" s="227" t="s">
        <v>793</v>
      </c>
      <c r="O25" s="276"/>
      <c r="P25" s="315" t="s">
        <v>792</v>
      </c>
    </row>
    <row r="26" spans="1:63" x14ac:dyDescent="0.2">
      <c r="A26" s="147"/>
      <c r="B26" s="152" t="s">
        <v>46</v>
      </c>
      <c r="C26" s="230" t="s">
        <v>706</v>
      </c>
      <c r="D26" s="230" t="s">
        <v>785</v>
      </c>
      <c r="E26" s="315" t="str">
        <f t="shared" si="16"/>
        <v>CTC_OS_RIGHT:TO_RUR</v>
      </c>
      <c r="F26" s="230" t="s">
        <v>74</v>
      </c>
      <c r="G26" s="230" t="s">
        <v>782</v>
      </c>
      <c r="H26" s="230" t="s">
        <v>13</v>
      </c>
      <c r="I26" s="10">
        <f t="shared" si="17"/>
        <v>0</v>
      </c>
      <c r="J26" s="6">
        <f t="shared" si="12"/>
        <v>10</v>
      </c>
      <c r="K26" s="16" t="str">
        <f t="shared" si="13"/>
        <v>D13</v>
      </c>
      <c r="L26" s="16" t="str">
        <f t="shared" si="14"/>
        <v>CSn010</v>
      </c>
      <c r="M26" s="16" t="str">
        <f t="shared" ca="1" si="15"/>
        <v>CS4010</v>
      </c>
      <c r="N26" s="227" t="s">
        <v>809</v>
      </c>
      <c r="O26" s="276"/>
      <c r="P26" s="315" t="s">
        <v>808</v>
      </c>
    </row>
    <row r="27" spans="1:63" x14ac:dyDescent="0.2">
      <c r="A27" s="147"/>
      <c r="B27" s="152" t="s">
        <v>46</v>
      </c>
      <c r="C27" s="230" t="s">
        <v>135</v>
      </c>
      <c r="D27" s="230" t="s">
        <v>135</v>
      </c>
      <c r="E27" s="315" t="str">
        <f t="shared" si="16"/>
        <v>-</v>
      </c>
      <c r="F27" s="230" t="s">
        <v>74</v>
      </c>
      <c r="G27" s="230"/>
      <c r="H27" s="230" t="s">
        <v>13</v>
      </c>
      <c r="I27" s="10">
        <f t="shared" si="17"/>
        <v>0</v>
      </c>
      <c r="J27" s="6">
        <f t="shared" si="12"/>
        <v>11</v>
      </c>
      <c r="K27" s="16" t="str">
        <f t="shared" si="13"/>
        <v>A0</v>
      </c>
      <c r="L27" s="16" t="str">
        <f t="shared" si="14"/>
        <v>CSn011</v>
      </c>
      <c r="M27" s="16" t="str">
        <f t="shared" ca="1" si="15"/>
        <v>CS4011</v>
      </c>
      <c r="N27" s="227"/>
      <c r="O27" s="227"/>
      <c r="P27" s="315" t="s">
        <v>74</v>
      </c>
    </row>
    <row r="28" spans="1:63" x14ac:dyDescent="0.2">
      <c r="A28" s="147"/>
      <c r="B28" s="152" t="s">
        <v>46</v>
      </c>
      <c r="C28" s="230" t="s">
        <v>135</v>
      </c>
      <c r="D28" s="230" t="s">
        <v>135</v>
      </c>
      <c r="E28" s="315" t="str">
        <f t="shared" si="16"/>
        <v>-</v>
      </c>
      <c r="F28" s="230" t="s">
        <v>74</v>
      </c>
      <c r="G28" s="230"/>
      <c r="H28" s="230" t="s">
        <v>13</v>
      </c>
      <c r="I28" s="10">
        <f t="shared" si="17"/>
        <v>0</v>
      </c>
      <c r="J28" s="6">
        <f t="shared" si="12"/>
        <v>12</v>
      </c>
      <c r="K28" s="16" t="str">
        <f t="shared" si="13"/>
        <v>A1</v>
      </c>
      <c r="L28" s="16" t="str">
        <f t="shared" si="14"/>
        <v>CSn012</v>
      </c>
      <c r="M28" s="16" t="str">
        <f t="shared" ca="1" si="15"/>
        <v>CS4012</v>
      </c>
      <c r="N28" s="227"/>
      <c r="O28" s="227"/>
      <c r="P28" s="315" t="s">
        <v>74</v>
      </c>
    </row>
    <row r="29" spans="1:63" x14ac:dyDescent="0.2">
      <c r="A29" s="147"/>
      <c r="B29" s="152" t="s">
        <v>46</v>
      </c>
      <c r="C29" s="230" t="s">
        <v>135</v>
      </c>
      <c r="D29" s="230" t="s">
        <v>135</v>
      </c>
      <c r="E29" s="315" t="str">
        <f t="shared" si="16"/>
        <v>-</v>
      </c>
      <c r="F29" s="230" t="s">
        <v>74</v>
      </c>
      <c r="G29" s="230"/>
      <c r="H29" s="230" t="s">
        <v>13</v>
      </c>
      <c r="I29" s="10">
        <f t="shared" si="17"/>
        <v>0</v>
      </c>
      <c r="J29" s="6">
        <f t="shared" si="12"/>
        <v>13</v>
      </c>
      <c r="K29" s="16" t="str">
        <f t="shared" si="13"/>
        <v>A2</v>
      </c>
      <c r="L29" s="16" t="str">
        <f t="shared" si="14"/>
        <v>CSn013</v>
      </c>
      <c r="M29" s="16" t="str">
        <f t="shared" ca="1" si="15"/>
        <v>CS4013</v>
      </c>
      <c r="N29" s="227"/>
      <c r="O29" s="227"/>
      <c r="P29" s="315" t="s">
        <v>74</v>
      </c>
    </row>
    <row r="30" spans="1:63" x14ac:dyDescent="0.2">
      <c r="A30" s="147"/>
      <c r="B30" s="152" t="s">
        <v>46</v>
      </c>
      <c r="C30" s="230" t="s">
        <v>135</v>
      </c>
      <c r="D30" s="230" t="s">
        <v>135</v>
      </c>
      <c r="E30" s="315" t="str">
        <f t="shared" si="16"/>
        <v>-</v>
      </c>
      <c r="F30" s="230" t="s">
        <v>74</v>
      </c>
      <c r="G30" s="230"/>
      <c r="H30" s="230" t="s">
        <v>13</v>
      </c>
      <c r="I30" s="10">
        <f t="shared" si="17"/>
        <v>0</v>
      </c>
      <c r="J30" s="6">
        <f t="shared" si="12"/>
        <v>14</v>
      </c>
      <c r="K30" s="16" t="str">
        <f t="shared" si="13"/>
        <v>A3</v>
      </c>
      <c r="L30" s="16" t="str">
        <f t="shared" si="14"/>
        <v>CSn014</v>
      </c>
      <c r="M30" s="16" t="str">
        <f t="shared" ca="1" si="15"/>
        <v>CS4014</v>
      </c>
      <c r="N30" s="227"/>
      <c r="O30" s="227"/>
      <c r="P30" s="315" t="s">
        <v>74</v>
      </c>
    </row>
    <row r="31" spans="1:63" x14ac:dyDescent="0.2">
      <c r="A31" s="147"/>
      <c r="B31" s="152" t="s">
        <v>46</v>
      </c>
      <c r="C31" s="230" t="s">
        <v>135</v>
      </c>
      <c r="D31" s="230" t="s">
        <v>135</v>
      </c>
      <c r="E31" s="315" t="str">
        <f t="shared" si="16"/>
        <v>-</v>
      </c>
      <c r="F31" s="230" t="s">
        <v>74</v>
      </c>
      <c r="G31" s="230"/>
      <c r="H31" s="230" t="s">
        <v>13</v>
      </c>
      <c r="I31" s="10">
        <f t="shared" si="17"/>
        <v>0</v>
      </c>
      <c r="J31" s="6">
        <f t="shared" si="12"/>
        <v>15</v>
      </c>
      <c r="K31" s="16" t="str">
        <f t="shared" si="13"/>
        <v>A4</v>
      </c>
      <c r="L31" s="16" t="str">
        <f t="shared" si="14"/>
        <v>CSn015</v>
      </c>
      <c r="M31" s="16" t="str">
        <f t="shared" ca="1" si="15"/>
        <v>CS4015</v>
      </c>
      <c r="N31" s="227"/>
      <c r="O31" s="227"/>
      <c r="P31" s="315" t="s">
        <v>74</v>
      </c>
    </row>
    <row r="32" spans="1:63" ht="16" thickBot="1" x14ac:dyDescent="0.25">
      <c r="A32" s="151"/>
      <c r="B32" s="136" t="s">
        <v>46</v>
      </c>
      <c r="C32" s="137" t="s">
        <v>135</v>
      </c>
      <c r="D32" s="137" t="s">
        <v>135</v>
      </c>
      <c r="E32" s="317" t="str">
        <f t="shared" si="16"/>
        <v>-</v>
      </c>
      <c r="F32" s="137" t="s">
        <v>74</v>
      </c>
      <c r="G32" s="137"/>
      <c r="H32" s="137" t="s">
        <v>13</v>
      </c>
      <c r="I32" s="12">
        <f t="shared" si="17"/>
        <v>0</v>
      </c>
      <c r="J32" s="7">
        <f t="shared" si="12"/>
        <v>16</v>
      </c>
      <c r="K32" s="19" t="str">
        <f t="shared" si="13"/>
        <v>A5</v>
      </c>
      <c r="L32" s="19" t="str">
        <f t="shared" si="14"/>
        <v>CSn016</v>
      </c>
      <c r="M32" s="19" t="str">
        <f t="shared" ca="1" si="15"/>
        <v>CS4016</v>
      </c>
      <c r="N32" s="228"/>
      <c r="O32" s="228"/>
      <c r="P32" s="317" t="s">
        <v>74</v>
      </c>
    </row>
    <row r="33" spans="1:63" x14ac:dyDescent="0.2">
      <c r="A33" s="144"/>
      <c r="B33" s="256" t="s">
        <v>50</v>
      </c>
      <c r="C33" s="311" t="s">
        <v>706</v>
      </c>
      <c r="D33" s="256" t="s">
        <v>713</v>
      </c>
      <c r="E33" s="320" t="str">
        <f t="shared" si="16"/>
        <v>CTC_OS_RIGHT:OME:DBL:HEAD0:RED</v>
      </c>
      <c r="F33" s="256" t="s">
        <v>74</v>
      </c>
      <c r="G33" s="325" t="s">
        <v>783</v>
      </c>
      <c r="H33" s="256" t="s">
        <v>17</v>
      </c>
      <c r="I33" s="254">
        <f t="shared" si="17"/>
        <v>0</v>
      </c>
      <c r="J33" s="5">
        <f t="shared" si="12"/>
        <v>1</v>
      </c>
      <c r="K33" s="15" t="str">
        <f t="shared" si="13"/>
        <v>lo_DA0</v>
      </c>
      <c r="L33" s="15" t="str">
        <f t="shared" si="14"/>
        <v>CTn017</v>
      </c>
      <c r="M33" s="15" t="str">
        <f t="shared" ca="1" si="15"/>
        <v>CT4017</v>
      </c>
      <c r="N33" s="226" t="s">
        <v>564</v>
      </c>
      <c r="O33" s="227" t="s">
        <v>689</v>
      </c>
      <c r="P33" s="320" t="s">
        <v>722</v>
      </c>
    </row>
    <row r="34" spans="1:63" s="4" customFormat="1" ht="16" thickBot="1" x14ac:dyDescent="0.25">
      <c r="A34" s="145"/>
      <c r="B34" s="230" t="s">
        <v>50</v>
      </c>
      <c r="C34" s="230" t="s">
        <v>706</v>
      </c>
      <c r="D34" s="230" t="s">
        <v>713</v>
      </c>
      <c r="E34" s="315" t="str">
        <f t="shared" si="16"/>
        <v>CTC_OS_RIGHT:OME:DBL:HEAD0:YEL</v>
      </c>
      <c r="F34" s="230" t="s">
        <v>74</v>
      </c>
      <c r="G34" s="230" t="s">
        <v>783</v>
      </c>
      <c r="H34" s="230" t="s">
        <v>17</v>
      </c>
      <c r="I34" s="10">
        <f t="shared" si="17"/>
        <v>0</v>
      </c>
      <c r="J34" s="6">
        <f t="shared" si="12"/>
        <v>2</v>
      </c>
      <c r="K34" s="16" t="str">
        <f t="shared" si="13"/>
        <v>lo_DA1</v>
      </c>
      <c r="L34" s="16" t="str">
        <f t="shared" si="14"/>
        <v>CTn018</v>
      </c>
      <c r="M34" s="16" t="str">
        <f t="shared" ca="1" si="15"/>
        <v>CT4018</v>
      </c>
      <c r="N34" s="227" t="s">
        <v>563</v>
      </c>
      <c r="O34" s="227" t="s">
        <v>692</v>
      </c>
      <c r="P34" s="315" t="s">
        <v>723</v>
      </c>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row>
    <row r="35" spans="1:63" x14ac:dyDescent="0.2">
      <c r="A35" s="145"/>
      <c r="B35" s="230" t="s">
        <v>50</v>
      </c>
      <c r="C35" s="230" t="s">
        <v>706</v>
      </c>
      <c r="D35" s="230" t="s">
        <v>713</v>
      </c>
      <c r="E35" s="315" t="str">
        <f t="shared" si="16"/>
        <v>CTC_OS_RIGHT:OME:DBL:HEAD0:GRN</v>
      </c>
      <c r="F35" s="230" t="s">
        <v>74</v>
      </c>
      <c r="G35" s="230" t="s">
        <v>783</v>
      </c>
      <c r="H35" s="230" t="s">
        <v>17</v>
      </c>
      <c r="I35" s="10">
        <f t="shared" si="17"/>
        <v>0</v>
      </c>
      <c r="J35" s="6">
        <f t="shared" si="12"/>
        <v>3</v>
      </c>
      <c r="K35" s="16" t="str">
        <f t="shared" si="13"/>
        <v>lo_DA2</v>
      </c>
      <c r="L35" s="16" t="str">
        <f t="shared" si="14"/>
        <v>CTn019</v>
      </c>
      <c r="M35" s="16" t="str">
        <f t="shared" ca="1" si="15"/>
        <v>CT4019</v>
      </c>
      <c r="N35" s="227" t="s">
        <v>562</v>
      </c>
      <c r="O35" s="227" t="s">
        <v>693</v>
      </c>
      <c r="P35" s="315" t="s">
        <v>721</v>
      </c>
    </row>
    <row r="36" spans="1:63" x14ac:dyDescent="0.2">
      <c r="A36" s="145"/>
      <c r="B36" s="230" t="s">
        <v>50</v>
      </c>
      <c r="C36" s="230" t="s">
        <v>706</v>
      </c>
      <c r="D36" s="230" t="s">
        <v>713</v>
      </c>
      <c r="E36" s="315" t="str">
        <f t="shared" si="16"/>
        <v>CTC_OS_RIGHT:OME:DBL:HEAD1:RED</v>
      </c>
      <c r="F36" s="230" t="s">
        <v>74</v>
      </c>
      <c r="G36" s="230" t="s">
        <v>783</v>
      </c>
      <c r="H36" s="230" t="s">
        <v>17</v>
      </c>
      <c r="I36" s="10">
        <f t="shared" si="17"/>
        <v>0</v>
      </c>
      <c r="J36" s="6">
        <f t="shared" si="12"/>
        <v>4</v>
      </c>
      <c r="K36" s="16" t="str">
        <f t="shared" si="13"/>
        <v>lo_DA3</v>
      </c>
      <c r="L36" s="16" t="str">
        <f t="shared" si="14"/>
        <v>CTn020</v>
      </c>
      <c r="M36" s="16" t="str">
        <f t="shared" ca="1" si="15"/>
        <v>CT4020</v>
      </c>
      <c r="N36" s="227" t="s">
        <v>561</v>
      </c>
      <c r="O36" s="227" t="s">
        <v>694</v>
      </c>
      <c r="P36" s="315" t="s">
        <v>719</v>
      </c>
    </row>
    <row r="37" spans="1:63" x14ac:dyDescent="0.2">
      <c r="A37" s="145"/>
      <c r="B37" s="230" t="s">
        <v>50</v>
      </c>
      <c r="C37" s="230" t="s">
        <v>706</v>
      </c>
      <c r="D37" s="230" t="s">
        <v>713</v>
      </c>
      <c r="E37" s="315" t="str">
        <f t="shared" si="16"/>
        <v>CTC_OS_RIGHT:OME:DBL:HEAD1:YEL</v>
      </c>
      <c r="F37" s="230" t="s">
        <v>74</v>
      </c>
      <c r="G37" s="230" t="s">
        <v>783</v>
      </c>
      <c r="H37" s="230" t="s">
        <v>17</v>
      </c>
      <c r="I37" s="10">
        <f t="shared" si="17"/>
        <v>0</v>
      </c>
      <c r="J37" s="10">
        <f t="shared" si="12"/>
        <v>5</v>
      </c>
      <c r="K37" s="17" t="str">
        <f t="shared" si="13"/>
        <v>lo_DA4</v>
      </c>
      <c r="L37" s="17" t="str">
        <f t="shared" si="14"/>
        <v>CTn021</v>
      </c>
      <c r="M37" s="17" t="str">
        <f t="shared" ca="1" si="15"/>
        <v>CT4021</v>
      </c>
      <c r="N37" s="227" t="s">
        <v>560</v>
      </c>
      <c r="O37" s="227" t="s">
        <v>695</v>
      </c>
      <c r="P37" s="315" t="s">
        <v>720</v>
      </c>
    </row>
    <row r="38" spans="1:63" x14ac:dyDescent="0.2">
      <c r="A38" s="145"/>
      <c r="B38" s="230" t="s">
        <v>50</v>
      </c>
      <c r="C38" s="230" t="s">
        <v>706</v>
      </c>
      <c r="D38" s="230" t="s">
        <v>713</v>
      </c>
      <c r="E38" s="315" t="str">
        <f t="shared" si="16"/>
        <v>CTC_OS_RIGHT:OME:DBL:HEAD1:GRN</v>
      </c>
      <c r="F38" s="230" t="s">
        <v>74</v>
      </c>
      <c r="G38" s="230" t="s">
        <v>783</v>
      </c>
      <c r="H38" s="230" t="s">
        <v>17</v>
      </c>
      <c r="I38" s="10">
        <f t="shared" si="17"/>
        <v>0</v>
      </c>
      <c r="J38" s="10">
        <f t="shared" si="12"/>
        <v>6</v>
      </c>
      <c r="K38" s="17" t="str">
        <f t="shared" si="13"/>
        <v>lo_DA5</v>
      </c>
      <c r="L38" s="17" t="str">
        <f t="shared" si="14"/>
        <v>CTn022</v>
      </c>
      <c r="M38" s="17" t="str">
        <f t="shared" ca="1" si="15"/>
        <v>CT4022</v>
      </c>
      <c r="N38" s="227" t="s">
        <v>559</v>
      </c>
      <c r="O38" s="227" t="s">
        <v>691</v>
      </c>
      <c r="P38" s="315" t="s">
        <v>718</v>
      </c>
    </row>
    <row r="39" spans="1:63" x14ac:dyDescent="0.2">
      <c r="A39" s="145"/>
      <c r="B39" s="230" t="s">
        <v>50</v>
      </c>
      <c r="C39" s="230" t="s">
        <v>706</v>
      </c>
      <c r="D39" s="230" t="s">
        <v>713</v>
      </c>
      <c r="E39" s="315" t="str">
        <f t="shared" si="16"/>
        <v>CTC_OS_RIGHT:OMW:DBL:HEAD0:RED</v>
      </c>
      <c r="F39" s="230" t="s">
        <v>74</v>
      </c>
      <c r="G39" s="230" t="s">
        <v>783</v>
      </c>
      <c r="H39" s="230" t="s">
        <v>17</v>
      </c>
      <c r="I39" s="10">
        <f t="shared" si="17"/>
        <v>0</v>
      </c>
      <c r="J39" s="10">
        <f t="shared" si="12"/>
        <v>7</v>
      </c>
      <c r="K39" s="17" t="str">
        <f t="shared" si="13"/>
        <v>lo_DA6</v>
      </c>
      <c r="L39" s="17" t="str">
        <f t="shared" si="14"/>
        <v>CTn023</v>
      </c>
      <c r="M39" s="17" t="str">
        <f t="shared" ca="1" si="15"/>
        <v>CT4023</v>
      </c>
      <c r="N39" s="227" t="s">
        <v>558</v>
      </c>
      <c r="O39" s="227" t="s">
        <v>690</v>
      </c>
      <c r="P39" s="315" t="s">
        <v>734</v>
      </c>
    </row>
    <row r="40" spans="1:63" x14ac:dyDescent="0.2">
      <c r="A40" s="145"/>
      <c r="B40" s="230" t="s">
        <v>50</v>
      </c>
      <c r="C40" s="230" t="s">
        <v>706</v>
      </c>
      <c r="D40" s="230" t="s">
        <v>713</v>
      </c>
      <c r="E40" s="315" t="str">
        <f t="shared" si="16"/>
        <v>CTC_OS_RIGHT:OMW:DBL:HEAD0:YEL</v>
      </c>
      <c r="F40" s="230" t="s">
        <v>74</v>
      </c>
      <c r="G40" s="230" t="s">
        <v>783</v>
      </c>
      <c r="H40" s="230" t="s">
        <v>17</v>
      </c>
      <c r="I40" s="10">
        <f t="shared" si="17"/>
        <v>0</v>
      </c>
      <c r="J40" s="10">
        <f t="shared" si="12"/>
        <v>8</v>
      </c>
      <c r="K40" s="17" t="str">
        <f t="shared" si="13"/>
        <v>lo_DA7</v>
      </c>
      <c r="L40" s="17" t="str">
        <f t="shared" si="14"/>
        <v>CTn024</v>
      </c>
      <c r="M40" s="17" t="str">
        <f t="shared" ca="1" si="15"/>
        <v>CT4024</v>
      </c>
      <c r="N40" s="227" t="s">
        <v>557</v>
      </c>
      <c r="O40" s="227" t="s">
        <v>696</v>
      </c>
      <c r="P40" s="315" t="s">
        <v>735</v>
      </c>
    </row>
    <row r="41" spans="1:63" x14ac:dyDescent="0.2">
      <c r="A41" s="145"/>
      <c r="B41" s="230" t="s">
        <v>50</v>
      </c>
      <c r="C41" s="230" t="s">
        <v>706</v>
      </c>
      <c r="D41" s="230" t="s">
        <v>713</v>
      </c>
      <c r="E41" s="315" t="str">
        <f t="shared" si="16"/>
        <v>CTC_OS_RIGHT:OMW:DBL:HEAD0:GRN</v>
      </c>
      <c r="F41" s="230" t="s">
        <v>74</v>
      </c>
      <c r="G41" s="230" t="s">
        <v>783</v>
      </c>
      <c r="H41" s="230" t="s">
        <v>17</v>
      </c>
      <c r="I41" s="10">
        <f t="shared" si="17"/>
        <v>0</v>
      </c>
      <c r="J41" s="10">
        <f t="shared" si="12"/>
        <v>9</v>
      </c>
      <c r="K41" s="17" t="str">
        <f t="shared" si="13"/>
        <v>lo_DB0</v>
      </c>
      <c r="L41" s="17" t="str">
        <f t="shared" si="14"/>
        <v>CTn025</v>
      </c>
      <c r="M41" s="17" t="str">
        <f t="shared" ca="1" si="15"/>
        <v>CT4025</v>
      </c>
      <c r="N41" s="227" t="s">
        <v>556</v>
      </c>
      <c r="O41" s="227" t="s">
        <v>688</v>
      </c>
      <c r="P41" s="315" t="s">
        <v>733</v>
      </c>
    </row>
    <row r="42" spans="1:63" x14ac:dyDescent="0.2">
      <c r="A42" s="145"/>
      <c r="B42" s="230" t="s">
        <v>50</v>
      </c>
      <c r="C42" s="230" t="s">
        <v>706</v>
      </c>
      <c r="D42" s="230" t="s">
        <v>713</v>
      </c>
      <c r="E42" s="315" t="str">
        <f t="shared" si="16"/>
        <v>CTC_OS_RIGHT:OMW:DBL:HEAD1:RED</v>
      </c>
      <c r="F42" s="230" t="s">
        <v>74</v>
      </c>
      <c r="G42" s="230" t="s">
        <v>783</v>
      </c>
      <c r="H42" s="230" t="s">
        <v>17</v>
      </c>
      <c r="I42" s="10">
        <f t="shared" si="17"/>
        <v>0</v>
      </c>
      <c r="J42" s="10">
        <f t="shared" si="12"/>
        <v>10</v>
      </c>
      <c r="K42" s="17" t="str">
        <f t="shared" si="13"/>
        <v>lo_DB1</v>
      </c>
      <c r="L42" s="17" t="str">
        <f t="shared" si="14"/>
        <v>CTn026</v>
      </c>
      <c r="M42" s="17" t="str">
        <f t="shared" ca="1" si="15"/>
        <v>CT4026</v>
      </c>
      <c r="N42" s="227" t="s">
        <v>555</v>
      </c>
      <c r="O42" s="227" t="s">
        <v>697</v>
      </c>
      <c r="P42" s="315" t="s">
        <v>731</v>
      </c>
    </row>
    <row r="43" spans="1:63" x14ac:dyDescent="0.2">
      <c r="A43" s="145"/>
      <c r="B43" s="230" t="s">
        <v>50</v>
      </c>
      <c r="C43" s="230" t="s">
        <v>706</v>
      </c>
      <c r="D43" s="230" t="s">
        <v>713</v>
      </c>
      <c r="E43" s="315" t="str">
        <f t="shared" si="16"/>
        <v>CTC_OS_RIGHT:OMW:DBL:HEAD1:YEL</v>
      </c>
      <c r="F43" s="230" t="s">
        <v>74</v>
      </c>
      <c r="G43" s="230" t="s">
        <v>783</v>
      </c>
      <c r="H43" s="230" t="s">
        <v>17</v>
      </c>
      <c r="I43" s="10">
        <f t="shared" si="17"/>
        <v>0</v>
      </c>
      <c r="J43" s="10">
        <f t="shared" si="12"/>
        <v>11</v>
      </c>
      <c r="K43" s="17" t="str">
        <f t="shared" si="13"/>
        <v>lo_DB2</v>
      </c>
      <c r="L43" s="17" t="str">
        <f t="shared" si="14"/>
        <v>CTn027</v>
      </c>
      <c r="M43" s="17" t="str">
        <f t="shared" ca="1" si="15"/>
        <v>CT4027</v>
      </c>
      <c r="N43" s="227" t="s">
        <v>554</v>
      </c>
      <c r="O43" s="227" t="s">
        <v>689</v>
      </c>
      <c r="P43" s="315" t="s">
        <v>732</v>
      </c>
    </row>
    <row r="44" spans="1:63" x14ac:dyDescent="0.2">
      <c r="A44" s="145"/>
      <c r="B44" s="230" t="s">
        <v>50</v>
      </c>
      <c r="C44" s="230" t="s">
        <v>706</v>
      </c>
      <c r="D44" s="230" t="s">
        <v>713</v>
      </c>
      <c r="E44" s="315" t="str">
        <f t="shared" si="16"/>
        <v>CTC_OS_RIGHT:OMW:DBL:HEAD1:GRN</v>
      </c>
      <c r="F44" s="230" t="s">
        <v>74</v>
      </c>
      <c r="G44" s="230" t="s">
        <v>783</v>
      </c>
      <c r="H44" s="230" t="s">
        <v>17</v>
      </c>
      <c r="I44" s="10">
        <f t="shared" si="17"/>
        <v>0</v>
      </c>
      <c r="J44" s="10">
        <f t="shared" si="12"/>
        <v>12</v>
      </c>
      <c r="K44" s="17" t="str">
        <f t="shared" si="13"/>
        <v>lo_DB3</v>
      </c>
      <c r="L44" s="17" t="str">
        <f t="shared" si="14"/>
        <v>CTn028</v>
      </c>
      <c r="M44" s="17" t="str">
        <f t="shared" ca="1" si="15"/>
        <v>CT4028</v>
      </c>
      <c r="N44" s="227" t="s">
        <v>553</v>
      </c>
      <c r="O44" s="227" t="s">
        <v>692</v>
      </c>
      <c r="P44" s="315" t="s">
        <v>730</v>
      </c>
    </row>
    <row r="45" spans="1:63" x14ac:dyDescent="0.2">
      <c r="A45" s="145"/>
      <c r="B45" s="230" t="s">
        <v>50</v>
      </c>
      <c r="C45" s="230" t="s">
        <v>135</v>
      </c>
      <c r="D45" s="230" t="s">
        <v>135</v>
      </c>
      <c r="E45" s="315" t="str">
        <f t="shared" si="16"/>
        <v>-</v>
      </c>
      <c r="F45" s="230" t="s">
        <v>74</v>
      </c>
      <c r="G45" s="230"/>
      <c r="H45" s="230" t="s">
        <v>17</v>
      </c>
      <c r="I45" s="10">
        <f t="shared" si="17"/>
        <v>0</v>
      </c>
      <c r="J45" s="10">
        <f t="shared" si="12"/>
        <v>13</v>
      </c>
      <c r="K45" s="17" t="str">
        <f t="shared" si="13"/>
        <v>lo_DB4</v>
      </c>
      <c r="L45" s="17" t="str">
        <f t="shared" si="14"/>
        <v>CTn029</v>
      </c>
      <c r="M45" s="17" t="str">
        <f t="shared" ca="1" si="15"/>
        <v>CT4029</v>
      </c>
      <c r="N45" s="227"/>
      <c r="O45" s="227"/>
      <c r="P45" s="315" t="s">
        <v>74</v>
      </c>
    </row>
    <row r="46" spans="1:63" x14ac:dyDescent="0.2">
      <c r="A46" s="145"/>
      <c r="B46" s="230" t="s">
        <v>50</v>
      </c>
      <c r="C46" s="230" t="s">
        <v>706</v>
      </c>
      <c r="D46" s="230" t="s">
        <v>713</v>
      </c>
      <c r="E46" s="315" t="str">
        <f t="shared" si="16"/>
        <v>CTC_OS_RIGHT:IMW:DWF:HEAD0:RED</v>
      </c>
      <c r="F46" s="230" t="s">
        <v>74</v>
      </c>
      <c r="G46" s="230" t="s">
        <v>783</v>
      </c>
      <c r="H46" s="230" t="s">
        <v>17</v>
      </c>
      <c r="I46" s="10">
        <f t="shared" si="17"/>
        <v>0</v>
      </c>
      <c r="J46" s="10">
        <f t="shared" si="12"/>
        <v>14</v>
      </c>
      <c r="K46" s="17" t="str">
        <f t="shared" si="13"/>
        <v>lo_DB5</v>
      </c>
      <c r="L46" s="17" t="str">
        <f t="shared" si="14"/>
        <v>CTn030</v>
      </c>
      <c r="M46" s="17" t="str">
        <f t="shared" ca="1" si="15"/>
        <v>CT4030</v>
      </c>
      <c r="N46" s="227" t="s">
        <v>561</v>
      </c>
      <c r="O46" s="227" t="s">
        <v>696</v>
      </c>
      <c r="P46" s="315" t="s">
        <v>753</v>
      </c>
    </row>
    <row r="47" spans="1:63" x14ac:dyDescent="0.2">
      <c r="A47" s="145"/>
      <c r="B47" s="230" t="s">
        <v>50</v>
      </c>
      <c r="C47" s="230" t="s">
        <v>706</v>
      </c>
      <c r="D47" s="230" t="s">
        <v>713</v>
      </c>
      <c r="E47" s="315" t="str">
        <f t="shared" si="16"/>
        <v>CTC_OS_RIGHT:IMW:DWF:HEAD0:YEL</v>
      </c>
      <c r="F47" s="230" t="s">
        <v>74</v>
      </c>
      <c r="G47" s="230" t="s">
        <v>783</v>
      </c>
      <c r="H47" s="230" t="s">
        <v>17</v>
      </c>
      <c r="I47" s="10">
        <f t="shared" si="17"/>
        <v>0</v>
      </c>
      <c r="J47" s="10">
        <f t="shared" si="12"/>
        <v>15</v>
      </c>
      <c r="K47" s="17" t="str">
        <f t="shared" si="13"/>
        <v>lo_DB6</v>
      </c>
      <c r="L47" s="17" t="str">
        <f t="shared" si="14"/>
        <v>CTn031</v>
      </c>
      <c r="M47" s="17" t="str">
        <f t="shared" ca="1" si="15"/>
        <v>CT4031</v>
      </c>
      <c r="N47" s="227" t="s">
        <v>560</v>
      </c>
      <c r="O47" s="227" t="s">
        <v>690</v>
      </c>
      <c r="P47" s="315" t="s">
        <v>754</v>
      </c>
    </row>
    <row r="48" spans="1:63" x14ac:dyDescent="0.2">
      <c r="A48" s="145"/>
      <c r="B48" s="230" t="s">
        <v>50</v>
      </c>
      <c r="C48" s="230" t="s">
        <v>706</v>
      </c>
      <c r="D48" s="230" t="s">
        <v>713</v>
      </c>
      <c r="E48" s="315" t="str">
        <f t="shared" si="16"/>
        <v>CTC_OS_RIGHT:IMW:DWF:HEAD0:GRN</v>
      </c>
      <c r="F48" s="230" t="s">
        <v>74</v>
      </c>
      <c r="G48" s="230" t="s">
        <v>783</v>
      </c>
      <c r="H48" s="230" t="s">
        <v>17</v>
      </c>
      <c r="I48" s="10">
        <f t="shared" si="17"/>
        <v>0</v>
      </c>
      <c r="J48" s="10">
        <f t="shared" si="12"/>
        <v>16</v>
      </c>
      <c r="K48" s="17" t="str">
        <f t="shared" si="13"/>
        <v>lo_DB7</v>
      </c>
      <c r="L48" s="17" t="str">
        <f t="shared" si="14"/>
        <v>CTn032</v>
      </c>
      <c r="M48" s="17" t="str">
        <f t="shared" ca="1" si="15"/>
        <v>CT4032</v>
      </c>
      <c r="N48" s="227" t="s">
        <v>559</v>
      </c>
      <c r="O48" s="227" t="s">
        <v>691</v>
      </c>
      <c r="P48" s="315" t="s">
        <v>752</v>
      </c>
    </row>
    <row r="49" spans="1:16" x14ac:dyDescent="0.2">
      <c r="A49" s="145"/>
      <c r="B49" s="230" t="s">
        <v>50</v>
      </c>
      <c r="C49" s="230" t="s">
        <v>706</v>
      </c>
      <c r="D49" s="230" t="s">
        <v>712</v>
      </c>
      <c r="E49" s="315" t="str">
        <f t="shared" si="16"/>
        <v>CTC_OS_RIGHT:TO_SRC</v>
      </c>
      <c r="F49" s="230" t="s">
        <v>74</v>
      </c>
      <c r="G49" s="230" t="s">
        <v>782</v>
      </c>
      <c r="H49" s="230" t="s">
        <v>17</v>
      </c>
      <c r="I49" s="10">
        <f t="shared" si="17"/>
        <v>0</v>
      </c>
      <c r="J49" s="10">
        <f t="shared" si="12"/>
        <v>17</v>
      </c>
      <c r="K49" s="17" t="str">
        <f t="shared" si="13"/>
        <v>hi_DA0</v>
      </c>
      <c r="L49" s="17" t="str">
        <f t="shared" si="14"/>
        <v>CTn033</v>
      </c>
      <c r="M49" s="17" t="str">
        <f t="shared" ca="1" si="15"/>
        <v>CT4033</v>
      </c>
      <c r="N49" s="227" t="s">
        <v>803</v>
      </c>
      <c r="O49" s="227"/>
      <c r="P49" s="315" t="s">
        <v>795</v>
      </c>
    </row>
    <row r="50" spans="1:16" x14ac:dyDescent="0.2">
      <c r="A50" s="145"/>
      <c r="B50" s="230" t="s">
        <v>50</v>
      </c>
      <c r="C50" s="230" t="s">
        <v>706</v>
      </c>
      <c r="D50" s="230" t="s">
        <v>790</v>
      </c>
      <c r="E50" s="315" t="str">
        <f t="shared" si="16"/>
        <v>CTC_OS_RIGHT:TO_TULO</v>
      </c>
      <c r="F50" s="230" t="s">
        <v>74</v>
      </c>
      <c r="G50" s="230" t="s">
        <v>782</v>
      </c>
      <c r="H50" s="230" t="s">
        <v>17</v>
      </c>
      <c r="I50" s="10">
        <f t="shared" si="17"/>
        <v>0</v>
      </c>
      <c r="J50" s="10">
        <f t="shared" si="12"/>
        <v>18</v>
      </c>
      <c r="K50" s="17" t="str">
        <f t="shared" si="13"/>
        <v>hi_DA1</v>
      </c>
      <c r="L50" s="17" t="str">
        <f t="shared" si="14"/>
        <v>CTn034</v>
      </c>
      <c r="M50" s="17" t="str">
        <f t="shared" ca="1" si="15"/>
        <v>CT4034</v>
      </c>
      <c r="N50" s="227" t="s">
        <v>799</v>
      </c>
      <c r="O50" s="227"/>
      <c r="P50" s="227" t="s">
        <v>796</v>
      </c>
    </row>
    <row r="51" spans="1:16" x14ac:dyDescent="0.2">
      <c r="A51" s="145"/>
      <c r="B51" s="230" t="s">
        <v>50</v>
      </c>
      <c r="C51" s="230" t="s">
        <v>135</v>
      </c>
      <c r="D51" s="230" t="s">
        <v>135</v>
      </c>
      <c r="E51" s="315" t="str">
        <f t="shared" si="16"/>
        <v>-</v>
      </c>
      <c r="F51" s="230" t="s">
        <v>74</v>
      </c>
      <c r="G51" s="230"/>
      <c r="H51" s="230" t="s">
        <v>17</v>
      </c>
      <c r="I51" s="10">
        <f t="shared" si="17"/>
        <v>0</v>
      </c>
      <c r="J51" s="10">
        <f t="shared" si="12"/>
        <v>19</v>
      </c>
      <c r="K51" s="17" t="str">
        <f t="shared" si="13"/>
        <v>hi_DA2</v>
      </c>
      <c r="L51" s="17" t="str">
        <f t="shared" si="14"/>
        <v>CTn035</v>
      </c>
      <c r="M51" s="17" t="str">
        <f t="shared" ca="1" si="15"/>
        <v>CT4035</v>
      </c>
      <c r="N51" s="227"/>
      <c r="O51" s="227"/>
      <c r="P51" s="227" t="s">
        <v>74</v>
      </c>
    </row>
    <row r="52" spans="1:16" x14ac:dyDescent="0.2">
      <c r="A52" s="145"/>
      <c r="B52" s="230" t="s">
        <v>50</v>
      </c>
      <c r="C52" s="230" t="s">
        <v>135</v>
      </c>
      <c r="D52" s="230" t="s">
        <v>135</v>
      </c>
      <c r="E52" s="315" t="str">
        <f t="shared" si="16"/>
        <v>-</v>
      </c>
      <c r="F52" s="230" t="s">
        <v>74</v>
      </c>
      <c r="G52" s="230"/>
      <c r="H52" s="230" t="s">
        <v>17</v>
      </c>
      <c r="I52" s="10">
        <f t="shared" si="17"/>
        <v>0</v>
      </c>
      <c r="J52" s="10">
        <f t="shared" si="12"/>
        <v>20</v>
      </c>
      <c r="K52" s="17" t="str">
        <f t="shared" si="13"/>
        <v>hi_DA3</v>
      </c>
      <c r="L52" s="17" t="str">
        <f t="shared" si="14"/>
        <v>CTn036</v>
      </c>
      <c r="M52" s="17" t="str">
        <f t="shared" ca="1" si="15"/>
        <v>CT4036</v>
      </c>
      <c r="N52" s="227"/>
      <c r="O52" s="227"/>
      <c r="P52" s="227" t="s">
        <v>74</v>
      </c>
    </row>
    <row r="53" spans="1:16" x14ac:dyDescent="0.2">
      <c r="A53" s="145"/>
      <c r="B53" s="230" t="s">
        <v>50</v>
      </c>
      <c r="C53" s="230" t="s">
        <v>135</v>
      </c>
      <c r="D53" s="230" t="s">
        <v>135</v>
      </c>
      <c r="E53" s="315" t="str">
        <f t="shared" si="16"/>
        <v>-</v>
      </c>
      <c r="F53" s="230" t="s">
        <v>74</v>
      </c>
      <c r="G53" s="230"/>
      <c r="H53" s="230" t="s">
        <v>17</v>
      </c>
      <c r="I53" s="10">
        <f t="shared" si="17"/>
        <v>0</v>
      </c>
      <c r="J53" s="10">
        <f t="shared" si="12"/>
        <v>21</v>
      </c>
      <c r="K53" s="17" t="str">
        <f t="shared" si="13"/>
        <v>hi_DA4</v>
      </c>
      <c r="L53" s="17" t="str">
        <f t="shared" si="14"/>
        <v>CSn037</v>
      </c>
      <c r="M53" s="17" t="str">
        <f t="shared" ca="1" si="15"/>
        <v>CS4037</v>
      </c>
      <c r="N53" s="227"/>
      <c r="O53" s="227"/>
      <c r="P53" s="227" t="s">
        <v>74</v>
      </c>
    </row>
    <row r="54" spans="1:16" x14ac:dyDescent="0.2">
      <c r="A54" s="145"/>
      <c r="B54" s="230" t="s">
        <v>50</v>
      </c>
      <c r="C54" s="230" t="s">
        <v>135</v>
      </c>
      <c r="D54" s="230" t="s">
        <v>135</v>
      </c>
      <c r="E54" s="315" t="str">
        <f t="shared" si="16"/>
        <v>-</v>
      </c>
      <c r="F54" s="230" t="s">
        <v>74</v>
      </c>
      <c r="G54" s="230"/>
      <c r="H54" s="230" t="s">
        <v>17</v>
      </c>
      <c r="I54" s="10">
        <f t="shared" si="17"/>
        <v>0</v>
      </c>
      <c r="J54" s="10">
        <f t="shared" si="12"/>
        <v>22</v>
      </c>
      <c r="K54" s="17" t="str">
        <f t="shared" si="13"/>
        <v>hi_DA5</v>
      </c>
      <c r="L54" s="17" t="str">
        <f t="shared" si="14"/>
        <v>CTn038</v>
      </c>
      <c r="M54" s="17" t="str">
        <f t="shared" ca="1" si="15"/>
        <v>CT4038</v>
      </c>
      <c r="N54" s="227"/>
      <c r="O54" s="227"/>
      <c r="P54" s="227" t="s">
        <v>74</v>
      </c>
    </row>
    <row r="55" spans="1:16" x14ac:dyDescent="0.2">
      <c r="A55" s="145"/>
      <c r="B55" s="230" t="s">
        <v>50</v>
      </c>
      <c r="C55" s="230" t="s">
        <v>135</v>
      </c>
      <c r="D55" s="230" t="s">
        <v>135</v>
      </c>
      <c r="E55" s="315" t="str">
        <f t="shared" si="16"/>
        <v>-</v>
      </c>
      <c r="F55" s="230" t="s">
        <v>74</v>
      </c>
      <c r="G55" s="230"/>
      <c r="H55" s="230" t="s">
        <v>17</v>
      </c>
      <c r="I55" s="10">
        <f t="shared" si="17"/>
        <v>0</v>
      </c>
      <c r="J55" s="10">
        <f t="shared" si="12"/>
        <v>23</v>
      </c>
      <c r="K55" s="17" t="str">
        <f t="shared" si="13"/>
        <v>hi_DA6</v>
      </c>
      <c r="L55" s="17" t="str">
        <f t="shared" si="14"/>
        <v>CTn039</v>
      </c>
      <c r="M55" s="17" t="str">
        <f t="shared" ca="1" si="15"/>
        <v>CT4039</v>
      </c>
      <c r="N55" s="227"/>
      <c r="O55" s="227"/>
      <c r="P55" s="227" t="s">
        <v>74</v>
      </c>
    </row>
    <row r="56" spans="1:16" x14ac:dyDescent="0.2">
      <c r="A56" s="145"/>
      <c r="B56" s="230" t="s">
        <v>50</v>
      </c>
      <c r="C56" s="230" t="s">
        <v>135</v>
      </c>
      <c r="D56" s="230" t="s">
        <v>135</v>
      </c>
      <c r="E56" s="315" t="str">
        <f t="shared" si="16"/>
        <v>-</v>
      </c>
      <c r="F56" s="230" t="s">
        <v>74</v>
      </c>
      <c r="G56" s="230"/>
      <c r="H56" s="230" t="s">
        <v>17</v>
      </c>
      <c r="I56" s="10">
        <f t="shared" si="17"/>
        <v>0</v>
      </c>
      <c r="J56" s="10">
        <f t="shared" si="12"/>
        <v>24</v>
      </c>
      <c r="K56" s="17" t="str">
        <f t="shared" si="13"/>
        <v>hi_DA7</v>
      </c>
      <c r="L56" s="17" t="str">
        <f t="shared" si="14"/>
        <v>CTn040</v>
      </c>
      <c r="M56" s="17" t="str">
        <f t="shared" ca="1" si="15"/>
        <v>CT4040</v>
      </c>
      <c r="N56" s="227"/>
      <c r="O56" s="227"/>
      <c r="P56" s="227" t="s">
        <v>74</v>
      </c>
    </row>
    <row r="57" spans="1:16" x14ac:dyDescent="0.2">
      <c r="A57" s="145"/>
      <c r="B57" s="230" t="s">
        <v>50</v>
      </c>
      <c r="C57" s="230" t="s">
        <v>135</v>
      </c>
      <c r="D57" s="230" t="s">
        <v>135</v>
      </c>
      <c r="E57" s="315" t="str">
        <f t="shared" si="16"/>
        <v>-</v>
      </c>
      <c r="F57" s="230" t="s">
        <v>74</v>
      </c>
      <c r="G57" s="230"/>
      <c r="H57" s="230" t="s">
        <v>17</v>
      </c>
      <c r="I57" s="10">
        <f t="shared" si="17"/>
        <v>0</v>
      </c>
      <c r="J57" s="10">
        <f t="shared" si="12"/>
        <v>25</v>
      </c>
      <c r="K57" s="17" t="str">
        <f t="shared" si="13"/>
        <v>hi_DB0</v>
      </c>
      <c r="L57" s="17" t="str">
        <f t="shared" si="14"/>
        <v>CTn041</v>
      </c>
      <c r="M57" s="17" t="str">
        <f t="shared" ca="1" si="15"/>
        <v>CT4041</v>
      </c>
      <c r="N57" s="227"/>
      <c r="O57" s="227"/>
      <c r="P57" s="227" t="s">
        <v>74</v>
      </c>
    </row>
    <row r="58" spans="1:16" x14ac:dyDescent="0.2">
      <c r="A58" s="145"/>
      <c r="B58" s="230" t="s">
        <v>50</v>
      </c>
      <c r="C58" s="230" t="s">
        <v>135</v>
      </c>
      <c r="D58" s="230" t="s">
        <v>135</v>
      </c>
      <c r="E58" s="315" t="str">
        <f t="shared" si="16"/>
        <v>-</v>
      </c>
      <c r="F58" s="230" t="s">
        <v>74</v>
      </c>
      <c r="G58" s="230"/>
      <c r="H58" s="230" t="s">
        <v>17</v>
      </c>
      <c r="I58" s="10">
        <f t="shared" si="17"/>
        <v>0</v>
      </c>
      <c r="J58" s="10">
        <f t="shared" si="12"/>
        <v>26</v>
      </c>
      <c r="K58" s="17" t="str">
        <f t="shared" si="13"/>
        <v>hi_DB1</v>
      </c>
      <c r="L58" s="17" t="str">
        <f t="shared" si="14"/>
        <v>CTn042</v>
      </c>
      <c r="M58" s="17" t="str">
        <f t="shared" ca="1" si="15"/>
        <v>CT4042</v>
      </c>
      <c r="N58" s="227"/>
      <c r="O58" s="227"/>
      <c r="P58" s="227" t="s">
        <v>74</v>
      </c>
    </row>
    <row r="59" spans="1:16" x14ac:dyDescent="0.2">
      <c r="A59" s="145"/>
      <c r="B59" s="230" t="s">
        <v>50</v>
      </c>
      <c r="C59" s="230" t="s">
        <v>135</v>
      </c>
      <c r="D59" s="230" t="s">
        <v>135</v>
      </c>
      <c r="E59" s="315" t="str">
        <f t="shared" si="16"/>
        <v>-</v>
      </c>
      <c r="F59" s="230" t="s">
        <v>74</v>
      </c>
      <c r="G59" s="230"/>
      <c r="H59" s="230" t="s">
        <v>17</v>
      </c>
      <c r="I59" s="10">
        <f t="shared" si="17"/>
        <v>0</v>
      </c>
      <c r="J59" s="10">
        <f t="shared" si="12"/>
        <v>27</v>
      </c>
      <c r="K59" s="17" t="str">
        <f t="shared" si="13"/>
        <v>hi_DB2</v>
      </c>
      <c r="L59" s="17" t="str">
        <f t="shared" si="14"/>
        <v>CTn043</v>
      </c>
      <c r="M59" s="17" t="str">
        <f t="shared" ca="1" si="15"/>
        <v>CT4043</v>
      </c>
      <c r="N59" s="227"/>
      <c r="O59" s="227"/>
      <c r="P59" s="227" t="s">
        <v>74</v>
      </c>
    </row>
    <row r="60" spans="1:16" x14ac:dyDescent="0.2">
      <c r="A60" s="145"/>
      <c r="B60" s="230" t="s">
        <v>50</v>
      </c>
      <c r="C60" s="230" t="s">
        <v>135</v>
      </c>
      <c r="D60" s="230" t="s">
        <v>135</v>
      </c>
      <c r="E60" s="315" t="str">
        <f t="shared" si="16"/>
        <v>-</v>
      </c>
      <c r="F60" s="230" t="s">
        <v>74</v>
      </c>
      <c r="G60" s="230"/>
      <c r="H60" s="230" t="s">
        <v>17</v>
      </c>
      <c r="I60" s="10">
        <f t="shared" si="17"/>
        <v>0</v>
      </c>
      <c r="J60" s="10">
        <f t="shared" si="12"/>
        <v>28</v>
      </c>
      <c r="K60" s="17" t="str">
        <f t="shared" si="13"/>
        <v>hi_DB3</v>
      </c>
      <c r="L60" s="17" t="str">
        <f t="shared" si="14"/>
        <v>CTn044</v>
      </c>
      <c r="M60" s="17" t="str">
        <f t="shared" ca="1" si="15"/>
        <v>CT4044</v>
      </c>
      <c r="N60" s="227"/>
      <c r="O60" s="227"/>
      <c r="P60" s="227" t="s">
        <v>74</v>
      </c>
    </row>
    <row r="61" spans="1:16" x14ac:dyDescent="0.2">
      <c r="A61" s="145"/>
      <c r="B61" s="230" t="s">
        <v>50</v>
      </c>
      <c r="C61" s="230" t="s">
        <v>135</v>
      </c>
      <c r="D61" s="230" t="s">
        <v>135</v>
      </c>
      <c r="E61" s="315" t="str">
        <f t="shared" si="16"/>
        <v>-</v>
      </c>
      <c r="F61" s="230" t="s">
        <v>74</v>
      </c>
      <c r="G61" s="230"/>
      <c r="H61" s="230" t="s">
        <v>17</v>
      </c>
      <c r="I61" s="10">
        <f t="shared" si="17"/>
        <v>0</v>
      </c>
      <c r="J61" s="10">
        <f t="shared" si="12"/>
        <v>29</v>
      </c>
      <c r="K61" s="17" t="str">
        <f t="shared" si="13"/>
        <v>hi_DB4</v>
      </c>
      <c r="L61" s="17" t="str">
        <f t="shared" si="14"/>
        <v>CTn045</v>
      </c>
      <c r="M61" s="17" t="str">
        <f t="shared" ca="1" si="15"/>
        <v>CT4045</v>
      </c>
      <c r="N61" s="227"/>
      <c r="O61" s="227"/>
      <c r="P61" s="227" t="s">
        <v>74</v>
      </c>
    </row>
    <row r="62" spans="1:16" x14ac:dyDescent="0.2">
      <c r="A62" s="145"/>
      <c r="B62" s="230" t="s">
        <v>50</v>
      </c>
      <c r="C62" s="230" t="s">
        <v>135</v>
      </c>
      <c r="D62" s="230" t="s">
        <v>135</v>
      </c>
      <c r="E62" s="315" t="str">
        <f t="shared" si="16"/>
        <v>-</v>
      </c>
      <c r="F62" s="230" t="s">
        <v>74</v>
      </c>
      <c r="G62" s="230"/>
      <c r="H62" s="230" t="s">
        <v>17</v>
      </c>
      <c r="I62" s="10">
        <f t="shared" si="17"/>
        <v>0</v>
      </c>
      <c r="J62" s="10">
        <f t="shared" si="12"/>
        <v>30</v>
      </c>
      <c r="K62" s="17" t="str">
        <f t="shared" si="13"/>
        <v>hi_DB5</v>
      </c>
      <c r="L62" s="17" t="str">
        <f t="shared" si="14"/>
        <v>CTn046</v>
      </c>
      <c r="M62" s="17" t="str">
        <f t="shared" ca="1" si="15"/>
        <v>CT4046</v>
      </c>
      <c r="N62" s="227"/>
      <c r="O62" s="227"/>
      <c r="P62" s="227" t="s">
        <v>74</v>
      </c>
    </row>
    <row r="63" spans="1:16" x14ac:dyDescent="0.2">
      <c r="A63" s="145"/>
      <c r="B63" s="230" t="s">
        <v>50</v>
      </c>
      <c r="C63" s="230" t="s">
        <v>135</v>
      </c>
      <c r="D63" s="230" t="s">
        <v>135</v>
      </c>
      <c r="E63" s="315" t="str">
        <f t="shared" si="16"/>
        <v>-</v>
      </c>
      <c r="F63" s="230" t="s">
        <v>74</v>
      </c>
      <c r="G63" s="230"/>
      <c r="H63" s="230" t="s">
        <v>17</v>
      </c>
      <c r="I63" s="10">
        <f t="shared" si="17"/>
        <v>0</v>
      </c>
      <c r="J63" s="10">
        <f t="shared" si="12"/>
        <v>31</v>
      </c>
      <c r="K63" s="17" t="str">
        <f t="shared" si="13"/>
        <v>hi_DB6</v>
      </c>
      <c r="L63" s="17" t="str">
        <f t="shared" si="14"/>
        <v>CTn047</v>
      </c>
      <c r="M63" s="17" t="str">
        <f t="shared" ca="1" si="15"/>
        <v>CT4047</v>
      </c>
      <c r="N63" s="227"/>
      <c r="O63" s="227"/>
      <c r="P63" s="227" t="s">
        <v>74</v>
      </c>
    </row>
    <row r="64" spans="1:16" ht="16" thickBot="1" x14ac:dyDescent="0.25">
      <c r="A64" s="146"/>
      <c r="B64" s="137" t="s">
        <v>50</v>
      </c>
      <c r="C64" s="137" t="s">
        <v>135</v>
      </c>
      <c r="D64" s="137" t="s">
        <v>135</v>
      </c>
      <c r="E64" s="317" t="str">
        <f t="shared" si="16"/>
        <v>-</v>
      </c>
      <c r="F64" s="137" t="s">
        <v>74</v>
      </c>
      <c r="G64" s="137"/>
      <c r="H64" s="137" t="s">
        <v>17</v>
      </c>
      <c r="I64" s="12">
        <f t="shared" si="17"/>
        <v>0</v>
      </c>
      <c r="J64" s="12">
        <f t="shared" si="12"/>
        <v>32</v>
      </c>
      <c r="K64" s="18" t="str">
        <f t="shared" si="13"/>
        <v>hi_DB7</v>
      </c>
      <c r="L64" s="18" t="str">
        <f t="shared" si="14"/>
        <v>CTn048</v>
      </c>
      <c r="M64" s="18" t="str">
        <f t="shared" ca="1" si="15"/>
        <v>CT4048</v>
      </c>
      <c r="N64" s="228"/>
      <c r="O64" s="228"/>
      <c r="P64" s="228" t="s">
        <v>74</v>
      </c>
    </row>
    <row r="65" spans="1:16" x14ac:dyDescent="0.2">
      <c r="A65" s="149"/>
      <c r="B65" s="231" t="s">
        <v>50</v>
      </c>
      <c r="C65" s="232" t="s">
        <v>135</v>
      </c>
      <c r="D65" s="232" t="s">
        <v>135</v>
      </c>
      <c r="E65" s="318" t="str">
        <f t="shared" si="16"/>
        <v>-</v>
      </c>
      <c r="F65" s="232" t="s">
        <v>74</v>
      </c>
      <c r="G65" s="325"/>
      <c r="H65" s="232" t="s">
        <v>74</v>
      </c>
      <c r="I65" s="29">
        <f t="shared" si="17"/>
        <v>0</v>
      </c>
      <c r="J65" s="11">
        <v>1</v>
      </c>
      <c r="K65" s="20" t="e">
        <f t="shared" si="13"/>
        <v>#N/A</v>
      </c>
      <c r="L65" s="20" t="e">
        <f t="shared" si="14"/>
        <v>#N/A</v>
      </c>
      <c r="M65" s="20" t="e">
        <f t="shared" ca="1" si="15"/>
        <v>#N/A</v>
      </c>
      <c r="N65" s="229"/>
      <c r="O65" s="229"/>
      <c r="P65" s="229" t="s">
        <v>74</v>
      </c>
    </row>
    <row r="66" spans="1:16" x14ac:dyDescent="0.2">
      <c r="A66" s="147"/>
      <c r="B66" s="152" t="s">
        <v>50</v>
      </c>
      <c r="C66" s="230" t="s">
        <v>135</v>
      </c>
      <c r="D66" s="230" t="s">
        <v>135</v>
      </c>
      <c r="E66" s="315" t="str">
        <f t="shared" si="16"/>
        <v>-</v>
      </c>
      <c r="F66" s="230" t="s">
        <v>74</v>
      </c>
      <c r="G66" s="230"/>
      <c r="H66" s="230" t="s">
        <v>74</v>
      </c>
      <c r="I66" s="10">
        <f t="shared" si="17"/>
        <v>0</v>
      </c>
      <c r="J66" s="6">
        <f t="shared" ref="J66:J96" si="19">IF(AND(H66=H65,B66=B65), J65+1,1)</f>
        <v>2</v>
      </c>
      <c r="K66" s="16" t="e">
        <f t="shared" si="13"/>
        <v>#N/A</v>
      </c>
      <c r="L66" s="16" t="e">
        <f t="shared" si="14"/>
        <v>#N/A</v>
      </c>
      <c r="M66" s="16" t="e">
        <f t="shared" ca="1" si="15"/>
        <v>#N/A</v>
      </c>
      <c r="N66" s="227"/>
      <c r="O66" s="227"/>
      <c r="P66" s="227" t="s">
        <v>74</v>
      </c>
    </row>
    <row r="67" spans="1:16" x14ac:dyDescent="0.2">
      <c r="A67" s="147"/>
      <c r="B67" s="152" t="s">
        <v>50</v>
      </c>
      <c r="C67" s="230" t="s">
        <v>135</v>
      </c>
      <c r="D67" s="230" t="s">
        <v>135</v>
      </c>
      <c r="E67" s="315" t="str">
        <f t="shared" si="16"/>
        <v>-</v>
      </c>
      <c r="F67" s="230" t="s">
        <v>74</v>
      </c>
      <c r="G67" s="230"/>
      <c r="H67" s="230" t="s">
        <v>74</v>
      </c>
      <c r="I67" s="10">
        <f t="shared" si="17"/>
        <v>0</v>
      </c>
      <c r="J67" s="6">
        <f t="shared" si="19"/>
        <v>3</v>
      </c>
      <c r="K67" s="16" t="e">
        <f t="shared" si="13"/>
        <v>#N/A</v>
      </c>
      <c r="L67" s="16" t="e">
        <f t="shared" si="14"/>
        <v>#N/A</v>
      </c>
      <c r="M67" s="16" t="e">
        <f t="shared" ca="1" si="15"/>
        <v>#N/A</v>
      </c>
      <c r="N67" s="227"/>
      <c r="O67" s="227"/>
      <c r="P67" s="227" t="s">
        <v>74</v>
      </c>
    </row>
    <row r="68" spans="1:16" x14ac:dyDescent="0.2">
      <c r="A68" s="147"/>
      <c r="B68" s="152" t="s">
        <v>50</v>
      </c>
      <c r="C68" s="230" t="s">
        <v>135</v>
      </c>
      <c r="D68" s="230" t="s">
        <v>135</v>
      </c>
      <c r="E68" s="315" t="str">
        <f t="shared" si="16"/>
        <v>-</v>
      </c>
      <c r="F68" s="230" t="s">
        <v>74</v>
      </c>
      <c r="G68" s="230"/>
      <c r="H68" s="230" t="s">
        <v>74</v>
      </c>
      <c r="I68" s="10">
        <f t="shared" si="17"/>
        <v>0</v>
      </c>
      <c r="J68" s="6">
        <f t="shared" si="19"/>
        <v>4</v>
      </c>
      <c r="K68" s="16" t="e">
        <f t="shared" si="13"/>
        <v>#N/A</v>
      </c>
      <c r="L68" s="16" t="e">
        <f t="shared" si="14"/>
        <v>#N/A</v>
      </c>
      <c r="M68" s="16" t="e">
        <f t="shared" ca="1" si="15"/>
        <v>#N/A</v>
      </c>
      <c r="N68" s="227"/>
      <c r="O68" s="227"/>
      <c r="P68" s="227" t="s">
        <v>74</v>
      </c>
    </row>
    <row r="69" spans="1:16" x14ac:dyDescent="0.2">
      <c r="A69" s="147"/>
      <c r="B69" s="152" t="s">
        <v>50</v>
      </c>
      <c r="C69" s="230" t="s">
        <v>135</v>
      </c>
      <c r="D69" s="230" t="s">
        <v>135</v>
      </c>
      <c r="E69" s="315" t="str">
        <f t="shared" si="16"/>
        <v>-</v>
      </c>
      <c r="F69" s="230" t="s">
        <v>74</v>
      </c>
      <c r="G69" s="230"/>
      <c r="H69" s="230" t="s">
        <v>74</v>
      </c>
      <c r="I69" s="10">
        <f t="shared" si="17"/>
        <v>0</v>
      </c>
      <c r="J69" s="10">
        <f t="shared" si="19"/>
        <v>5</v>
      </c>
      <c r="K69" s="17" t="e">
        <f t="shared" si="13"/>
        <v>#N/A</v>
      </c>
      <c r="L69" s="17" t="e">
        <f t="shared" si="14"/>
        <v>#N/A</v>
      </c>
      <c r="M69" s="17" t="e">
        <f t="shared" ca="1" si="15"/>
        <v>#N/A</v>
      </c>
      <c r="N69" s="227"/>
      <c r="O69" s="227"/>
      <c r="P69" s="227" t="s">
        <v>74</v>
      </c>
    </row>
    <row r="70" spans="1:16" x14ac:dyDescent="0.2">
      <c r="A70" s="147"/>
      <c r="B70" s="152" t="s">
        <v>50</v>
      </c>
      <c r="C70" s="230" t="s">
        <v>135</v>
      </c>
      <c r="D70" s="230" t="s">
        <v>135</v>
      </c>
      <c r="E70" s="315" t="str">
        <f t="shared" si="16"/>
        <v>-</v>
      </c>
      <c r="F70" s="230" t="s">
        <v>74</v>
      </c>
      <c r="G70" s="230"/>
      <c r="H70" s="230" t="s">
        <v>74</v>
      </c>
      <c r="I70" s="10">
        <f t="shared" si="17"/>
        <v>0</v>
      </c>
      <c r="J70" s="10">
        <f t="shared" si="19"/>
        <v>6</v>
      </c>
      <c r="K70" s="17" t="e">
        <f t="shared" si="13"/>
        <v>#N/A</v>
      </c>
      <c r="L70" s="17" t="e">
        <f t="shared" si="14"/>
        <v>#N/A</v>
      </c>
      <c r="M70" s="17" t="e">
        <f t="shared" ca="1" si="15"/>
        <v>#N/A</v>
      </c>
      <c r="N70" s="227"/>
      <c r="O70" s="227"/>
      <c r="P70" s="227" t="s">
        <v>74</v>
      </c>
    </row>
    <row r="71" spans="1:16" x14ac:dyDescent="0.2">
      <c r="A71" s="147"/>
      <c r="B71" s="152" t="s">
        <v>50</v>
      </c>
      <c r="C71" s="230" t="s">
        <v>135</v>
      </c>
      <c r="D71" s="230" t="s">
        <v>135</v>
      </c>
      <c r="E71" s="315" t="str">
        <f t="shared" si="16"/>
        <v>-</v>
      </c>
      <c r="F71" s="230" t="s">
        <v>74</v>
      </c>
      <c r="G71" s="230"/>
      <c r="H71" s="230" t="s">
        <v>74</v>
      </c>
      <c r="I71" s="10">
        <f t="shared" si="17"/>
        <v>0</v>
      </c>
      <c r="J71" s="10">
        <f t="shared" si="19"/>
        <v>7</v>
      </c>
      <c r="K71" s="17" t="e">
        <f t="shared" si="13"/>
        <v>#N/A</v>
      </c>
      <c r="L71" s="17" t="e">
        <f t="shared" si="14"/>
        <v>#N/A</v>
      </c>
      <c r="M71" s="17" t="e">
        <f t="shared" ca="1" si="15"/>
        <v>#N/A</v>
      </c>
      <c r="N71" s="227"/>
      <c r="O71" s="227"/>
      <c r="P71" s="227" t="s">
        <v>74</v>
      </c>
    </row>
    <row r="72" spans="1:16" x14ac:dyDescent="0.2">
      <c r="A72" s="147"/>
      <c r="B72" s="152" t="s">
        <v>50</v>
      </c>
      <c r="C72" s="230" t="s">
        <v>135</v>
      </c>
      <c r="D72" s="230" t="s">
        <v>135</v>
      </c>
      <c r="E72" s="315" t="str">
        <f t="shared" si="16"/>
        <v>-</v>
      </c>
      <c r="F72" s="230" t="s">
        <v>74</v>
      </c>
      <c r="G72" s="230"/>
      <c r="H72" s="230" t="s">
        <v>74</v>
      </c>
      <c r="I72" s="10">
        <f t="shared" si="17"/>
        <v>0</v>
      </c>
      <c r="J72" s="10">
        <f t="shared" si="19"/>
        <v>8</v>
      </c>
      <c r="K72" s="17" t="e">
        <f t="shared" si="13"/>
        <v>#N/A</v>
      </c>
      <c r="L72" s="17" t="e">
        <f t="shared" si="14"/>
        <v>#N/A</v>
      </c>
      <c r="M72" s="17" t="e">
        <f t="shared" ca="1" si="15"/>
        <v>#N/A</v>
      </c>
      <c r="N72" s="227"/>
      <c r="O72" s="227"/>
      <c r="P72" s="227" t="s">
        <v>74</v>
      </c>
    </row>
    <row r="73" spans="1:16" x14ac:dyDescent="0.2">
      <c r="A73" s="147"/>
      <c r="B73" s="152" t="s">
        <v>50</v>
      </c>
      <c r="C73" s="230" t="s">
        <v>135</v>
      </c>
      <c r="D73" s="230" t="s">
        <v>135</v>
      </c>
      <c r="E73" s="315" t="str">
        <f t="shared" si="16"/>
        <v>-</v>
      </c>
      <c r="F73" s="230" t="s">
        <v>74</v>
      </c>
      <c r="G73" s="230"/>
      <c r="H73" s="230" t="s">
        <v>74</v>
      </c>
      <c r="I73" s="10">
        <f t="shared" si="17"/>
        <v>0</v>
      </c>
      <c r="J73" s="10">
        <f t="shared" si="19"/>
        <v>9</v>
      </c>
      <c r="K73" s="17" t="e">
        <f t="shared" si="13"/>
        <v>#N/A</v>
      </c>
      <c r="L73" s="17" t="e">
        <f t="shared" si="14"/>
        <v>#N/A</v>
      </c>
      <c r="M73" s="17" t="e">
        <f t="shared" ca="1" si="15"/>
        <v>#N/A</v>
      </c>
      <c r="N73" s="227"/>
      <c r="O73" s="227"/>
      <c r="P73" s="227" t="s">
        <v>74</v>
      </c>
    </row>
    <row r="74" spans="1:16" x14ac:dyDescent="0.2">
      <c r="A74" s="147"/>
      <c r="B74" s="152" t="s">
        <v>50</v>
      </c>
      <c r="C74" s="230" t="s">
        <v>135</v>
      </c>
      <c r="D74" s="230" t="s">
        <v>135</v>
      </c>
      <c r="E74" s="315" t="str">
        <f t="shared" si="16"/>
        <v>-</v>
      </c>
      <c r="F74" s="230" t="s">
        <v>74</v>
      </c>
      <c r="G74" s="230"/>
      <c r="H74" s="230" t="s">
        <v>74</v>
      </c>
      <c r="I74" s="10">
        <f t="shared" si="17"/>
        <v>0</v>
      </c>
      <c r="J74" s="10">
        <f t="shared" si="19"/>
        <v>10</v>
      </c>
      <c r="K74" s="17" t="e">
        <f t="shared" si="13"/>
        <v>#N/A</v>
      </c>
      <c r="L74" s="17" t="e">
        <f t="shared" si="14"/>
        <v>#N/A</v>
      </c>
      <c r="M74" s="17" t="e">
        <f t="shared" ca="1" si="15"/>
        <v>#N/A</v>
      </c>
      <c r="N74" s="227"/>
      <c r="O74" s="227"/>
      <c r="P74" s="227" t="s">
        <v>74</v>
      </c>
    </row>
    <row r="75" spans="1:16" x14ac:dyDescent="0.2">
      <c r="A75" s="147"/>
      <c r="B75" s="152" t="s">
        <v>50</v>
      </c>
      <c r="C75" s="230" t="s">
        <v>135</v>
      </c>
      <c r="D75" s="230" t="s">
        <v>135</v>
      </c>
      <c r="E75" s="315" t="str">
        <f t="shared" si="16"/>
        <v>-</v>
      </c>
      <c r="F75" s="230" t="s">
        <v>74</v>
      </c>
      <c r="G75" s="230"/>
      <c r="H75" s="230" t="s">
        <v>74</v>
      </c>
      <c r="I75" s="10">
        <f t="shared" si="17"/>
        <v>0</v>
      </c>
      <c r="J75" s="10">
        <f t="shared" si="19"/>
        <v>11</v>
      </c>
      <c r="K75" s="17" t="e">
        <f t="shared" si="13"/>
        <v>#N/A</v>
      </c>
      <c r="L75" s="17" t="e">
        <f t="shared" si="14"/>
        <v>#N/A</v>
      </c>
      <c r="M75" s="17" t="e">
        <f t="shared" ca="1" si="15"/>
        <v>#N/A</v>
      </c>
      <c r="N75" s="227"/>
      <c r="O75" s="227"/>
      <c r="P75" s="227" t="s">
        <v>74</v>
      </c>
    </row>
    <row r="76" spans="1:16" x14ac:dyDescent="0.2">
      <c r="A76" s="147"/>
      <c r="B76" s="152" t="s">
        <v>50</v>
      </c>
      <c r="C76" s="230" t="s">
        <v>135</v>
      </c>
      <c r="D76" s="230" t="s">
        <v>135</v>
      </c>
      <c r="E76" s="315" t="str">
        <f t="shared" si="16"/>
        <v>-</v>
      </c>
      <c r="F76" s="230" t="s">
        <v>74</v>
      </c>
      <c r="G76" s="230"/>
      <c r="H76" s="230" t="s">
        <v>74</v>
      </c>
      <c r="I76" s="10">
        <f t="shared" si="17"/>
        <v>0</v>
      </c>
      <c r="J76" s="10">
        <f t="shared" si="19"/>
        <v>12</v>
      </c>
      <c r="K76" s="17" t="e">
        <f t="shared" si="13"/>
        <v>#N/A</v>
      </c>
      <c r="L76" s="17" t="e">
        <f t="shared" si="14"/>
        <v>#N/A</v>
      </c>
      <c r="M76" s="17" t="e">
        <f t="shared" ca="1" si="15"/>
        <v>#N/A</v>
      </c>
      <c r="N76" s="227"/>
      <c r="O76" s="227"/>
      <c r="P76" s="227" t="s">
        <v>74</v>
      </c>
    </row>
    <row r="77" spans="1:16" x14ac:dyDescent="0.2">
      <c r="A77" s="147"/>
      <c r="B77" s="152" t="s">
        <v>50</v>
      </c>
      <c r="C77" s="230" t="s">
        <v>135</v>
      </c>
      <c r="D77" s="230" t="s">
        <v>135</v>
      </c>
      <c r="E77" s="315" t="str">
        <f t="shared" si="16"/>
        <v>-</v>
      </c>
      <c r="F77" s="230" t="s">
        <v>74</v>
      </c>
      <c r="G77" s="230"/>
      <c r="H77" s="230" t="s">
        <v>74</v>
      </c>
      <c r="I77" s="10">
        <f t="shared" si="17"/>
        <v>0</v>
      </c>
      <c r="J77" s="10">
        <f t="shared" si="19"/>
        <v>13</v>
      </c>
      <c r="K77" s="17" t="e">
        <f t="shared" si="13"/>
        <v>#N/A</v>
      </c>
      <c r="L77" s="17" t="e">
        <f t="shared" si="14"/>
        <v>#N/A</v>
      </c>
      <c r="M77" s="17" t="e">
        <f t="shared" ca="1" si="15"/>
        <v>#N/A</v>
      </c>
      <c r="N77" s="227"/>
      <c r="O77" s="227"/>
      <c r="P77" s="227" t="s">
        <v>74</v>
      </c>
    </row>
    <row r="78" spans="1:16" x14ac:dyDescent="0.2">
      <c r="A78" s="147"/>
      <c r="B78" s="152" t="s">
        <v>50</v>
      </c>
      <c r="C78" s="230" t="s">
        <v>135</v>
      </c>
      <c r="D78" s="230" t="s">
        <v>135</v>
      </c>
      <c r="E78" s="315" t="str">
        <f t="shared" si="16"/>
        <v>-</v>
      </c>
      <c r="F78" s="230" t="s">
        <v>74</v>
      </c>
      <c r="G78" s="230"/>
      <c r="H78" s="230" t="s">
        <v>74</v>
      </c>
      <c r="I78" s="10">
        <f t="shared" si="17"/>
        <v>0</v>
      </c>
      <c r="J78" s="10">
        <f t="shared" si="19"/>
        <v>14</v>
      </c>
      <c r="K78" s="17" t="e">
        <f t="shared" si="13"/>
        <v>#N/A</v>
      </c>
      <c r="L78" s="17" t="e">
        <f t="shared" si="14"/>
        <v>#N/A</v>
      </c>
      <c r="M78" s="17" t="e">
        <f t="shared" ca="1" si="15"/>
        <v>#N/A</v>
      </c>
      <c r="N78" s="227"/>
      <c r="O78" s="227"/>
      <c r="P78" s="227" t="s">
        <v>74</v>
      </c>
    </row>
    <row r="79" spans="1:16" x14ac:dyDescent="0.2">
      <c r="A79" s="147"/>
      <c r="B79" s="152" t="s">
        <v>50</v>
      </c>
      <c r="C79" s="230" t="s">
        <v>135</v>
      </c>
      <c r="D79" s="230" t="s">
        <v>135</v>
      </c>
      <c r="E79" s="315" t="str">
        <f t="shared" si="16"/>
        <v>-</v>
      </c>
      <c r="F79" s="230" t="s">
        <v>74</v>
      </c>
      <c r="G79" s="230"/>
      <c r="H79" s="230" t="s">
        <v>74</v>
      </c>
      <c r="I79" s="10">
        <f t="shared" si="17"/>
        <v>0</v>
      </c>
      <c r="J79" s="10">
        <f t="shared" si="19"/>
        <v>15</v>
      </c>
      <c r="K79" s="17" t="e">
        <f t="shared" si="13"/>
        <v>#N/A</v>
      </c>
      <c r="L79" s="17" t="e">
        <f t="shared" si="14"/>
        <v>#N/A</v>
      </c>
      <c r="M79" s="17" t="e">
        <f t="shared" ca="1" si="15"/>
        <v>#N/A</v>
      </c>
      <c r="N79" s="227"/>
      <c r="O79" s="227"/>
      <c r="P79" s="227" t="s">
        <v>74</v>
      </c>
    </row>
    <row r="80" spans="1:16" x14ac:dyDescent="0.2">
      <c r="A80" s="147"/>
      <c r="B80" s="152" t="s">
        <v>50</v>
      </c>
      <c r="C80" s="230" t="s">
        <v>135</v>
      </c>
      <c r="D80" s="230" t="s">
        <v>135</v>
      </c>
      <c r="E80" s="315" t="str">
        <f t="shared" si="16"/>
        <v>-</v>
      </c>
      <c r="F80" s="230" t="s">
        <v>74</v>
      </c>
      <c r="G80" s="230"/>
      <c r="H80" s="230" t="s">
        <v>74</v>
      </c>
      <c r="I80" s="10">
        <f t="shared" si="17"/>
        <v>0</v>
      </c>
      <c r="J80" s="10">
        <f t="shared" si="19"/>
        <v>16</v>
      </c>
      <c r="K80" s="17" t="e">
        <f t="shared" si="13"/>
        <v>#N/A</v>
      </c>
      <c r="L80" s="17" t="e">
        <f t="shared" si="14"/>
        <v>#N/A</v>
      </c>
      <c r="M80" s="17" t="e">
        <f t="shared" ca="1" si="15"/>
        <v>#N/A</v>
      </c>
      <c r="N80" s="227"/>
      <c r="O80" s="227"/>
      <c r="P80" s="227" t="s">
        <v>74</v>
      </c>
    </row>
    <row r="81" spans="1:16" x14ac:dyDescent="0.2">
      <c r="A81" s="147"/>
      <c r="B81" s="152" t="s">
        <v>50</v>
      </c>
      <c r="C81" s="230" t="s">
        <v>135</v>
      </c>
      <c r="D81" s="230" t="s">
        <v>135</v>
      </c>
      <c r="E81" s="315" t="str">
        <f t="shared" si="16"/>
        <v>-</v>
      </c>
      <c r="F81" s="230" t="s">
        <v>74</v>
      </c>
      <c r="G81" s="230"/>
      <c r="H81" s="230" t="s">
        <v>74</v>
      </c>
      <c r="I81" s="10">
        <f t="shared" si="17"/>
        <v>0</v>
      </c>
      <c r="J81" s="10">
        <f t="shared" si="19"/>
        <v>17</v>
      </c>
      <c r="K81" s="17" t="e">
        <f t="shared" ref="K81:K144" si="20">VLOOKUP(H81,nodeDevicePinConfigTable,3+J81+(IF(B81="IN",0,1)*VLOOKUP(H81,nodeDevicePinConfigTable,2,TRUE)),TRUE)</f>
        <v>#N/A</v>
      </c>
      <c r="L81" s="17" t="e">
        <f t="shared" ref="L81:L144" si="21">VLOOKUP(H81,nodeJMRIPinConfigTable,3+J81+(IF(B81="IN",0,1)*VLOOKUP(H81,nodeJMRIPinConfigTable,2,TRUE)),TRUE)</f>
        <v>#N/A</v>
      </c>
      <c r="M81" s="17" t="e">
        <f t="shared" ref="M81:M144" ca="1" si="22">CONCATENATE(LEFT(L81,2),$D$5*1000+VALUE(RIGHT(L81,3)+I81))</f>
        <v>#N/A</v>
      </c>
      <c r="N81" s="227"/>
      <c r="O81" s="227"/>
      <c r="P81" s="227" t="s">
        <v>74</v>
      </c>
    </row>
    <row r="82" spans="1:16" x14ac:dyDescent="0.2">
      <c r="A82" s="147"/>
      <c r="B82" s="152" t="s">
        <v>50</v>
      </c>
      <c r="C82" s="230" t="s">
        <v>135</v>
      </c>
      <c r="D82" s="230" t="s">
        <v>135</v>
      </c>
      <c r="E82" s="315" t="str">
        <f t="shared" ref="E82:E145" si="23">IF(P82="-",P82,_xlfn.CONCAT(C82,":",P82))</f>
        <v>-</v>
      </c>
      <c r="F82" s="230" t="s">
        <v>74</v>
      </c>
      <c r="G82" s="230"/>
      <c r="H82" s="230" t="s">
        <v>74</v>
      </c>
      <c r="I82" s="10">
        <f t="shared" ref="I82:I145" si="24">IF(LEFT(H82,4)="BASE",0,IF(LEFT(H82,3)="IOX", VALUE(MID(H82,4,2))*VALUE(RIGHT(H82,1)),0))</f>
        <v>0</v>
      </c>
      <c r="J82" s="10">
        <f t="shared" si="19"/>
        <v>18</v>
      </c>
      <c r="K82" s="17" t="e">
        <f t="shared" si="20"/>
        <v>#N/A</v>
      </c>
      <c r="L82" s="17" t="e">
        <f t="shared" si="21"/>
        <v>#N/A</v>
      </c>
      <c r="M82" s="17" t="e">
        <f t="shared" ca="1" si="22"/>
        <v>#N/A</v>
      </c>
      <c r="N82" s="227"/>
      <c r="O82" s="227"/>
      <c r="P82" s="227" t="s">
        <v>74</v>
      </c>
    </row>
    <row r="83" spans="1:16" x14ac:dyDescent="0.2">
      <c r="A83" s="147"/>
      <c r="B83" s="152" t="s">
        <v>50</v>
      </c>
      <c r="C83" s="230" t="s">
        <v>135</v>
      </c>
      <c r="D83" s="230" t="s">
        <v>135</v>
      </c>
      <c r="E83" s="315" t="str">
        <f t="shared" si="23"/>
        <v>-</v>
      </c>
      <c r="F83" s="230" t="s">
        <v>74</v>
      </c>
      <c r="G83" s="230"/>
      <c r="H83" s="230" t="s">
        <v>74</v>
      </c>
      <c r="I83" s="10">
        <f t="shared" si="24"/>
        <v>0</v>
      </c>
      <c r="J83" s="10">
        <f t="shared" si="19"/>
        <v>19</v>
      </c>
      <c r="K83" s="17" t="e">
        <f t="shared" si="20"/>
        <v>#N/A</v>
      </c>
      <c r="L83" s="17" t="e">
        <f t="shared" si="21"/>
        <v>#N/A</v>
      </c>
      <c r="M83" s="17" t="e">
        <f t="shared" ca="1" si="22"/>
        <v>#N/A</v>
      </c>
      <c r="N83" s="227"/>
      <c r="O83" s="227"/>
      <c r="P83" s="227" t="s">
        <v>74</v>
      </c>
    </row>
    <row r="84" spans="1:16" x14ac:dyDescent="0.2">
      <c r="A84" s="147"/>
      <c r="B84" s="152" t="s">
        <v>50</v>
      </c>
      <c r="C84" s="230" t="s">
        <v>135</v>
      </c>
      <c r="D84" s="230" t="s">
        <v>135</v>
      </c>
      <c r="E84" s="315" t="str">
        <f t="shared" si="23"/>
        <v>-</v>
      </c>
      <c r="F84" s="230" t="s">
        <v>74</v>
      </c>
      <c r="G84" s="230"/>
      <c r="H84" s="230" t="s">
        <v>74</v>
      </c>
      <c r="I84" s="10">
        <f t="shared" si="24"/>
        <v>0</v>
      </c>
      <c r="J84" s="10">
        <f t="shared" si="19"/>
        <v>20</v>
      </c>
      <c r="K84" s="17" t="e">
        <f t="shared" si="20"/>
        <v>#N/A</v>
      </c>
      <c r="L84" s="17" t="e">
        <f t="shared" si="21"/>
        <v>#N/A</v>
      </c>
      <c r="M84" s="17" t="e">
        <f t="shared" ca="1" si="22"/>
        <v>#N/A</v>
      </c>
      <c r="N84" s="227"/>
      <c r="O84" s="227"/>
      <c r="P84" s="227" t="s">
        <v>74</v>
      </c>
    </row>
    <row r="85" spans="1:16" x14ac:dyDescent="0.2">
      <c r="A85" s="147"/>
      <c r="B85" s="152" t="s">
        <v>50</v>
      </c>
      <c r="C85" s="230" t="s">
        <v>135</v>
      </c>
      <c r="D85" s="230" t="s">
        <v>135</v>
      </c>
      <c r="E85" s="315" t="str">
        <f t="shared" si="23"/>
        <v>-</v>
      </c>
      <c r="F85" s="230" t="s">
        <v>74</v>
      </c>
      <c r="G85" s="230"/>
      <c r="H85" s="230" t="s">
        <v>74</v>
      </c>
      <c r="I85" s="10">
        <f t="shared" si="24"/>
        <v>0</v>
      </c>
      <c r="J85" s="10">
        <f t="shared" si="19"/>
        <v>21</v>
      </c>
      <c r="K85" s="17" t="e">
        <f t="shared" si="20"/>
        <v>#N/A</v>
      </c>
      <c r="L85" s="17" t="e">
        <f t="shared" si="21"/>
        <v>#N/A</v>
      </c>
      <c r="M85" s="17" t="e">
        <f t="shared" ca="1" si="22"/>
        <v>#N/A</v>
      </c>
      <c r="N85" s="227"/>
      <c r="O85" s="227"/>
      <c r="P85" s="227" t="s">
        <v>74</v>
      </c>
    </row>
    <row r="86" spans="1:16" x14ac:dyDescent="0.2">
      <c r="A86" s="147"/>
      <c r="B86" s="152" t="s">
        <v>50</v>
      </c>
      <c r="C86" s="230" t="s">
        <v>135</v>
      </c>
      <c r="D86" s="230" t="s">
        <v>135</v>
      </c>
      <c r="E86" s="315" t="str">
        <f t="shared" si="23"/>
        <v>-</v>
      </c>
      <c r="F86" s="230" t="s">
        <v>74</v>
      </c>
      <c r="G86" s="230"/>
      <c r="H86" s="230" t="s">
        <v>74</v>
      </c>
      <c r="I86" s="10">
        <f t="shared" si="24"/>
        <v>0</v>
      </c>
      <c r="J86" s="10">
        <f t="shared" si="19"/>
        <v>22</v>
      </c>
      <c r="K86" s="17" t="e">
        <f t="shared" si="20"/>
        <v>#N/A</v>
      </c>
      <c r="L86" s="17" t="e">
        <f t="shared" si="21"/>
        <v>#N/A</v>
      </c>
      <c r="M86" s="17" t="e">
        <f t="shared" ca="1" si="22"/>
        <v>#N/A</v>
      </c>
      <c r="N86" s="227"/>
      <c r="O86" s="227"/>
      <c r="P86" s="227" t="s">
        <v>74</v>
      </c>
    </row>
    <row r="87" spans="1:16" x14ac:dyDescent="0.2">
      <c r="A87" s="147"/>
      <c r="B87" s="152" t="s">
        <v>50</v>
      </c>
      <c r="C87" s="230" t="s">
        <v>135</v>
      </c>
      <c r="D87" s="230" t="s">
        <v>135</v>
      </c>
      <c r="E87" s="315" t="str">
        <f t="shared" si="23"/>
        <v>-</v>
      </c>
      <c r="F87" s="230" t="s">
        <v>74</v>
      </c>
      <c r="G87" s="230"/>
      <c r="H87" s="230" t="s">
        <v>74</v>
      </c>
      <c r="I87" s="10">
        <f t="shared" si="24"/>
        <v>0</v>
      </c>
      <c r="J87" s="10">
        <f t="shared" si="19"/>
        <v>23</v>
      </c>
      <c r="K87" s="17" t="e">
        <f t="shared" si="20"/>
        <v>#N/A</v>
      </c>
      <c r="L87" s="17" t="e">
        <f t="shared" si="21"/>
        <v>#N/A</v>
      </c>
      <c r="M87" s="17" t="e">
        <f t="shared" ca="1" si="22"/>
        <v>#N/A</v>
      </c>
      <c r="N87" s="227"/>
      <c r="O87" s="227"/>
      <c r="P87" s="227" t="s">
        <v>74</v>
      </c>
    </row>
    <row r="88" spans="1:16" x14ac:dyDescent="0.2">
      <c r="A88" s="147"/>
      <c r="B88" s="152" t="s">
        <v>50</v>
      </c>
      <c r="C88" s="230" t="s">
        <v>135</v>
      </c>
      <c r="D88" s="230" t="s">
        <v>135</v>
      </c>
      <c r="E88" s="315" t="str">
        <f t="shared" si="23"/>
        <v>-</v>
      </c>
      <c r="F88" s="230" t="s">
        <v>74</v>
      </c>
      <c r="G88" s="230"/>
      <c r="H88" s="230" t="s">
        <v>74</v>
      </c>
      <c r="I88" s="10">
        <f t="shared" si="24"/>
        <v>0</v>
      </c>
      <c r="J88" s="10">
        <f t="shared" si="19"/>
        <v>24</v>
      </c>
      <c r="K88" s="17" t="e">
        <f t="shared" si="20"/>
        <v>#N/A</v>
      </c>
      <c r="L88" s="17" t="e">
        <f t="shared" si="21"/>
        <v>#N/A</v>
      </c>
      <c r="M88" s="17" t="e">
        <f t="shared" ca="1" si="22"/>
        <v>#N/A</v>
      </c>
      <c r="N88" s="227"/>
      <c r="O88" s="227"/>
      <c r="P88" s="227" t="s">
        <v>74</v>
      </c>
    </row>
    <row r="89" spans="1:16" x14ac:dyDescent="0.2">
      <c r="A89" s="147"/>
      <c r="B89" s="152" t="s">
        <v>50</v>
      </c>
      <c r="C89" s="230" t="s">
        <v>135</v>
      </c>
      <c r="D89" s="230" t="s">
        <v>135</v>
      </c>
      <c r="E89" s="315" t="str">
        <f t="shared" si="23"/>
        <v>-</v>
      </c>
      <c r="F89" s="230" t="s">
        <v>74</v>
      </c>
      <c r="G89" s="230"/>
      <c r="H89" s="230" t="s">
        <v>74</v>
      </c>
      <c r="I89" s="10">
        <f t="shared" si="24"/>
        <v>0</v>
      </c>
      <c r="J89" s="10">
        <f t="shared" si="19"/>
        <v>25</v>
      </c>
      <c r="K89" s="17" t="e">
        <f t="shared" si="20"/>
        <v>#N/A</v>
      </c>
      <c r="L89" s="17" t="e">
        <f t="shared" si="21"/>
        <v>#N/A</v>
      </c>
      <c r="M89" s="17" t="e">
        <f t="shared" ca="1" si="22"/>
        <v>#N/A</v>
      </c>
      <c r="N89" s="227"/>
      <c r="O89" s="227"/>
      <c r="P89" s="227" t="s">
        <v>74</v>
      </c>
    </row>
    <row r="90" spans="1:16" x14ac:dyDescent="0.2">
      <c r="A90" s="147"/>
      <c r="B90" s="152" t="s">
        <v>50</v>
      </c>
      <c r="C90" s="230" t="s">
        <v>135</v>
      </c>
      <c r="D90" s="230" t="s">
        <v>135</v>
      </c>
      <c r="E90" s="315" t="str">
        <f t="shared" si="23"/>
        <v>-</v>
      </c>
      <c r="F90" s="230" t="s">
        <v>74</v>
      </c>
      <c r="G90" s="230"/>
      <c r="H90" s="230" t="s">
        <v>74</v>
      </c>
      <c r="I90" s="10">
        <f t="shared" si="24"/>
        <v>0</v>
      </c>
      <c r="J90" s="10">
        <f t="shared" si="19"/>
        <v>26</v>
      </c>
      <c r="K90" s="17" t="e">
        <f t="shared" si="20"/>
        <v>#N/A</v>
      </c>
      <c r="L90" s="17" t="e">
        <f t="shared" si="21"/>
        <v>#N/A</v>
      </c>
      <c r="M90" s="17" t="e">
        <f t="shared" ca="1" si="22"/>
        <v>#N/A</v>
      </c>
      <c r="N90" s="227"/>
      <c r="O90" s="227"/>
      <c r="P90" s="227" t="s">
        <v>74</v>
      </c>
    </row>
    <row r="91" spans="1:16" x14ac:dyDescent="0.2">
      <c r="A91" s="147"/>
      <c r="B91" s="152" t="s">
        <v>50</v>
      </c>
      <c r="C91" s="230" t="s">
        <v>135</v>
      </c>
      <c r="D91" s="230" t="s">
        <v>135</v>
      </c>
      <c r="E91" s="315" t="str">
        <f t="shared" si="23"/>
        <v>-</v>
      </c>
      <c r="F91" s="230" t="s">
        <v>74</v>
      </c>
      <c r="G91" s="230"/>
      <c r="H91" s="230" t="s">
        <v>74</v>
      </c>
      <c r="I91" s="10">
        <f t="shared" si="24"/>
        <v>0</v>
      </c>
      <c r="J91" s="10">
        <f t="shared" si="19"/>
        <v>27</v>
      </c>
      <c r="K91" s="17" t="e">
        <f t="shared" si="20"/>
        <v>#N/A</v>
      </c>
      <c r="L91" s="17" t="e">
        <f t="shared" si="21"/>
        <v>#N/A</v>
      </c>
      <c r="M91" s="17" t="e">
        <f t="shared" ca="1" si="22"/>
        <v>#N/A</v>
      </c>
      <c r="N91" s="227"/>
      <c r="O91" s="227"/>
      <c r="P91" s="227" t="s">
        <v>74</v>
      </c>
    </row>
    <row r="92" spans="1:16" x14ac:dyDescent="0.2">
      <c r="A92" s="147"/>
      <c r="B92" s="152" t="s">
        <v>50</v>
      </c>
      <c r="C92" s="230" t="s">
        <v>135</v>
      </c>
      <c r="D92" s="230" t="s">
        <v>135</v>
      </c>
      <c r="E92" s="315" t="str">
        <f t="shared" si="23"/>
        <v>-</v>
      </c>
      <c r="F92" s="230" t="s">
        <v>74</v>
      </c>
      <c r="G92" s="230"/>
      <c r="H92" s="230" t="s">
        <v>74</v>
      </c>
      <c r="I92" s="10">
        <f t="shared" si="24"/>
        <v>0</v>
      </c>
      <c r="J92" s="10">
        <f t="shared" si="19"/>
        <v>28</v>
      </c>
      <c r="K92" s="17" t="e">
        <f t="shared" si="20"/>
        <v>#N/A</v>
      </c>
      <c r="L92" s="17" t="e">
        <f t="shared" si="21"/>
        <v>#N/A</v>
      </c>
      <c r="M92" s="17" t="e">
        <f t="shared" ca="1" si="22"/>
        <v>#N/A</v>
      </c>
      <c r="N92" s="227"/>
      <c r="O92" s="227"/>
      <c r="P92" s="227" t="s">
        <v>74</v>
      </c>
    </row>
    <row r="93" spans="1:16" x14ac:dyDescent="0.2">
      <c r="A93" s="147"/>
      <c r="B93" s="152" t="s">
        <v>50</v>
      </c>
      <c r="C93" s="230" t="s">
        <v>135</v>
      </c>
      <c r="D93" s="230" t="s">
        <v>135</v>
      </c>
      <c r="E93" s="315" t="str">
        <f t="shared" si="23"/>
        <v>-</v>
      </c>
      <c r="F93" s="230" t="s">
        <v>74</v>
      </c>
      <c r="G93" s="230"/>
      <c r="H93" s="230" t="s">
        <v>74</v>
      </c>
      <c r="I93" s="10">
        <f t="shared" si="24"/>
        <v>0</v>
      </c>
      <c r="J93" s="10">
        <f t="shared" si="19"/>
        <v>29</v>
      </c>
      <c r="K93" s="17" t="e">
        <f t="shared" si="20"/>
        <v>#N/A</v>
      </c>
      <c r="L93" s="17" t="e">
        <f t="shared" si="21"/>
        <v>#N/A</v>
      </c>
      <c r="M93" s="17" t="e">
        <f t="shared" ca="1" si="22"/>
        <v>#N/A</v>
      </c>
      <c r="N93" s="227"/>
      <c r="O93" s="227"/>
      <c r="P93" s="227" t="s">
        <v>74</v>
      </c>
    </row>
    <row r="94" spans="1:16" x14ac:dyDescent="0.2">
      <c r="A94" s="147"/>
      <c r="B94" s="152" t="s">
        <v>50</v>
      </c>
      <c r="C94" s="230" t="s">
        <v>135</v>
      </c>
      <c r="D94" s="230" t="s">
        <v>135</v>
      </c>
      <c r="E94" s="315" t="str">
        <f t="shared" si="23"/>
        <v>-</v>
      </c>
      <c r="F94" s="230" t="s">
        <v>74</v>
      </c>
      <c r="G94" s="230"/>
      <c r="H94" s="230" t="s">
        <v>74</v>
      </c>
      <c r="I94" s="10">
        <f t="shared" si="24"/>
        <v>0</v>
      </c>
      <c r="J94" s="10">
        <f t="shared" si="19"/>
        <v>30</v>
      </c>
      <c r="K94" s="17" t="e">
        <f t="shared" si="20"/>
        <v>#N/A</v>
      </c>
      <c r="L94" s="17" t="e">
        <f t="shared" si="21"/>
        <v>#N/A</v>
      </c>
      <c r="M94" s="17" t="e">
        <f t="shared" ca="1" si="22"/>
        <v>#N/A</v>
      </c>
      <c r="N94" s="227"/>
      <c r="O94" s="227"/>
      <c r="P94" s="227" t="s">
        <v>74</v>
      </c>
    </row>
    <row r="95" spans="1:16" x14ac:dyDescent="0.2">
      <c r="A95" s="147"/>
      <c r="B95" s="152" t="s">
        <v>50</v>
      </c>
      <c r="C95" s="230" t="s">
        <v>135</v>
      </c>
      <c r="D95" s="230" t="s">
        <v>135</v>
      </c>
      <c r="E95" s="315" t="str">
        <f t="shared" si="23"/>
        <v>-</v>
      </c>
      <c r="F95" s="230" t="s">
        <v>74</v>
      </c>
      <c r="G95" s="230"/>
      <c r="H95" s="230" t="s">
        <v>74</v>
      </c>
      <c r="I95" s="10">
        <f t="shared" si="24"/>
        <v>0</v>
      </c>
      <c r="J95" s="10">
        <f t="shared" si="19"/>
        <v>31</v>
      </c>
      <c r="K95" s="17" t="e">
        <f t="shared" si="20"/>
        <v>#N/A</v>
      </c>
      <c r="L95" s="17" t="e">
        <f t="shared" si="21"/>
        <v>#N/A</v>
      </c>
      <c r="M95" s="17" t="e">
        <f t="shared" ca="1" si="22"/>
        <v>#N/A</v>
      </c>
      <c r="N95" s="227"/>
      <c r="O95" s="227"/>
      <c r="P95" s="227" t="s">
        <v>74</v>
      </c>
    </row>
    <row r="96" spans="1:16" ht="16" thickBot="1" x14ac:dyDescent="0.25">
      <c r="A96" s="147"/>
      <c r="B96" s="136" t="s">
        <v>50</v>
      </c>
      <c r="C96" s="137" t="s">
        <v>135</v>
      </c>
      <c r="D96" s="137" t="s">
        <v>135</v>
      </c>
      <c r="E96" s="317" t="str">
        <f t="shared" si="23"/>
        <v>-</v>
      </c>
      <c r="F96" s="137" t="s">
        <v>74</v>
      </c>
      <c r="G96" s="137"/>
      <c r="H96" s="137" t="s">
        <v>74</v>
      </c>
      <c r="I96" s="12">
        <f t="shared" si="24"/>
        <v>0</v>
      </c>
      <c r="J96" s="12">
        <f t="shared" si="19"/>
        <v>32</v>
      </c>
      <c r="K96" s="18" t="e">
        <f t="shared" si="20"/>
        <v>#N/A</v>
      </c>
      <c r="L96" s="18" t="e">
        <f t="shared" si="21"/>
        <v>#N/A</v>
      </c>
      <c r="M96" s="18" t="e">
        <f t="shared" ca="1" si="22"/>
        <v>#N/A</v>
      </c>
      <c r="N96" s="228"/>
      <c r="O96" s="228"/>
      <c r="P96" s="228" t="s">
        <v>74</v>
      </c>
    </row>
    <row r="97" spans="1:16" x14ac:dyDescent="0.2">
      <c r="A97" s="147"/>
      <c r="B97" s="255" t="s">
        <v>50</v>
      </c>
      <c r="C97" s="256" t="s">
        <v>135</v>
      </c>
      <c r="D97" s="256" t="s">
        <v>135</v>
      </c>
      <c r="E97" s="320" t="str">
        <f t="shared" si="23"/>
        <v>-</v>
      </c>
      <c r="F97" s="256" t="s">
        <v>74</v>
      </c>
      <c r="G97" s="325"/>
      <c r="H97" s="256" t="s">
        <v>74</v>
      </c>
      <c r="I97" s="254">
        <f t="shared" si="24"/>
        <v>0</v>
      </c>
      <c r="J97" s="5">
        <v>1</v>
      </c>
      <c r="K97" s="15" t="e">
        <f t="shared" si="20"/>
        <v>#N/A</v>
      </c>
      <c r="L97" s="15" t="e">
        <f t="shared" si="21"/>
        <v>#N/A</v>
      </c>
      <c r="M97" s="15" t="e">
        <f t="shared" ca="1" si="22"/>
        <v>#N/A</v>
      </c>
      <c r="N97" s="226"/>
      <c r="O97" s="226"/>
      <c r="P97" s="226" t="s">
        <v>74</v>
      </c>
    </row>
    <row r="98" spans="1:16" x14ac:dyDescent="0.2">
      <c r="A98" s="147"/>
      <c r="B98" s="152" t="s">
        <v>50</v>
      </c>
      <c r="C98" s="230" t="s">
        <v>135</v>
      </c>
      <c r="D98" s="230" t="s">
        <v>135</v>
      </c>
      <c r="E98" s="315" t="str">
        <f t="shared" si="23"/>
        <v>-</v>
      </c>
      <c r="F98" s="230" t="s">
        <v>74</v>
      </c>
      <c r="G98" s="230"/>
      <c r="H98" s="230" t="s">
        <v>74</v>
      </c>
      <c r="I98" s="10">
        <f t="shared" si="24"/>
        <v>0</v>
      </c>
      <c r="J98" s="6">
        <f t="shared" ref="J98:J128" si="25">IF(AND(H98=H97,B98=B97), J97+1,1)</f>
        <v>2</v>
      </c>
      <c r="K98" s="16" t="e">
        <f t="shared" si="20"/>
        <v>#N/A</v>
      </c>
      <c r="L98" s="16" t="e">
        <f t="shared" si="21"/>
        <v>#N/A</v>
      </c>
      <c r="M98" s="16" t="e">
        <f t="shared" ca="1" si="22"/>
        <v>#N/A</v>
      </c>
      <c r="N98" s="227"/>
      <c r="O98" s="227"/>
      <c r="P98" s="227" t="s">
        <v>74</v>
      </c>
    </row>
    <row r="99" spans="1:16" x14ac:dyDescent="0.2">
      <c r="A99" s="147"/>
      <c r="B99" s="152" t="s">
        <v>50</v>
      </c>
      <c r="C99" s="230" t="s">
        <v>135</v>
      </c>
      <c r="D99" s="230" t="s">
        <v>135</v>
      </c>
      <c r="E99" s="315" t="str">
        <f t="shared" si="23"/>
        <v>-</v>
      </c>
      <c r="F99" s="230" t="s">
        <v>74</v>
      </c>
      <c r="G99" s="230"/>
      <c r="H99" s="230" t="s">
        <v>74</v>
      </c>
      <c r="I99" s="10">
        <f t="shared" si="24"/>
        <v>0</v>
      </c>
      <c r="J99" s="6">
        <f t="shared" si="25"/>
        <v>3</v>
      </c>
      <c r="K99" s="16" t="e">
        <f t="shared" si="20"/>
        <v>#N/A</v>
      </c>
      <c r="L99" s="16" t="e">
        <f t="shared" si="21"/>
        <v>#N/A</v>
      </c>
      <c r="M99" s="16" t="e">
        <f t="shared" ca="1" si="22"/>
        <v>#N/A</v>
      </c>
      <c r="N99" s="227"/>
      <c r="O99" s="227"/>
      <c r="P99" s="227" t="s">
        <v>74</v>
      </c>
    </row>
    <row r="100" spans="1:16" x14ac:dyDescent="0.2">
      <c r="A100" s="147"/>
      <c r="B100" s="152" t="s">
        <v>50</v>
      </c>
      <c r="C100" s="230" t="s">
        <v>135</v>
      </c>
      <c r="D100" s="230" t="s">
        <v>135</v>
      </c>
      <c r="E100" s="315" t="str">
        <f t="shared" si="23"/>
        <v>-</v>
      </c>
      <c r="F100" s="230" t="s">
        <v>74</v>
      </c>
      <c r="G100" s="230"/>
      <c r="H100" s="230" t="s">
        <v>74</v>
      </c>
      <c r="I100" s="10">
        <f t="shared" si="24"/>
        <v>0</v>
      </c>
      <c r="J100" s="6">
        <f t="shared" si="25"/>
        <v>4</v>
      </c>
      <c r="K100" s="16" t="e">
        <f t="shared" si="20"/>
        <v>#N/A</v>
      </c>
      <c r="L100" s="16" t="e">
        <f t="shared" si="21"/>
        <v>#N/A</v>
      </c>
      <c r="M100" s="16" t="e">
        <f t="shared" ca="1" si="22"/>
        <v>#N/A</v>
      </c>
      <c r="N100" s="227"/>
      <c r="O100" s="227"/>
      <c r="P100" s="227" t="s">
        <v>74</v>
      </c>
    </row>
    <row r="101" spans="1:16" x14ac:dyDescent="0.2">
      <c r="A101" s="147"/>
      <c r="B101" s="152" t="s">
        <v>50</v>
      </c>
      <c r="C101" s="230" t="s">
        <v>135</v>
      </c>
      <c r="D101" s="230" t="s">
        <v>135</v>
      </c>
      <c r="E101" s="315" t="str">
        <f t="shared" si="23"/>
        <v>-</v>
      </c>
      <c r="F101" s="230" t="s">
        <v>74</v>
      </c>
      <c r="G101" s="230"/>
      <c r="H101" s="230" t="s">
        <v>74</v>
      </c>
      <c r="I101" s="10">
        <f t="shared" si="24"/>
        <v>0</v>
      </c>
      <c r="J101" s="10">
        <f t="shared" si="25"/>
        <v>5</v>
      </c>
      <c r="K101" s="17" t="e">
        <f t="shared" si="20"/>
        <v>#N/A</v>
      </c>
      <c r="L101" s="17" t="e">
        <f t="shared" si="21"/>
        <v>#N/A</v>
      </c>
      <c r="M101" s="17" t="e">
        <f t="shared" ca="1" si="22"/>
        <v>#N/A</v>
      </c>
      <c r="N101" s="227"/>
      <c r="O101" s="227"/>
      <c r="P101" s="227" t="s">
        <v>74</v>
      </c>
    </row>
    <row r="102" spans="1:16" x14ac:dyDescent="0.2">
      <c r="A102" s="147"/>
      <c r="B102" s="152" t="s">
        <v>50</v>
      </c>
      <c r="C102" s="230" t="s">
        <v>135</v>
      </c>
      <c r="D102" s="230" t="s">
        <v>135</v>
      </c>
      <c r="E102" s="315" t="str">
        <f t="shared" si="23"/>
        <v>-</v>
      </c>
      <c r="F102" s="230" t="s">
        <v>74</v>
      </c>
      <c r="G102" s="230"/>
      <c r="H102" s="230" t="s">
        <v>74</v>
      </c>
      <c r="I102" s="10">
        <f t="shared" si="24"/>
        <v>0</v>
      </c>
      <c r="J102" s="10">
        <f t="shared" si="25"/>
        <v>6</v>
      </c>
      <c r="K102" s="17" t="e">
        <f t="shared" si="20"/>
        <v>#N/A</v>
      </c>
      <c r="L102" s="17" t="e">
        <f t="shared" si="21"/>
        <v>#N/A</v>
      </c>
      <c r="M102" s="17" t="e">
        <f t="shared" ca="1" si="22"/>
        <v>#N/A</v>
      </c>
      <c r="N102" s="227"/>
      <c r="O102" s="227"/>
      <c r="P102" s="227" t="s">
        <v>74</v>
      </c>
    </row>
    <row r="103" spans="1:16" x14ac:dyDescent="0.2">
      <c r="A103" s="147"/>
      <c r="B103" s="152" t="s">
        <v>50</v>
      </c>
      <c r="C103" s="230" t="s">
        <v>135</v>
      </c>
      <c r="D103" s="230" t="s">
        <v>135</v>
      </c>
      <c r="E103" s="315" t="str">
        <f t="shared" si="23"/>
        <v>-</v>
      </c>
      <c r="F103" s="230" t="s">
        <v>74</v>
      </c>
      <c r="G103" s="230"/>
      <c r="H103" s="230" t="s">
        <v>74</v>
      </c>
      <c r="I103" s="10">
        <f t="shared" si="24"/>
        <v>0</v>
      </c>
      <c r="J103" s="10">
        <f t="shared" si="25"/>
        <v>7</v>
      </c>
      <c r="K103" s="17" t="e">
        <f t="shared" si="20"/>
        <v>#N/A</v>
      </c>
      <c r="L103" s="17" t="e">
        <f t="shared" si="21"/>
        <v>#N/A</v>
      </c>
      <c r="M103" s="17" t="e">
        <f t="shared" ca="1" si="22"/>
        <v>#N/A</v>
      </c>
      <c r="N103" s="227"/>
      <c r="O103" s="227"/>
      <c r="P103" s="227" t="s">
        <v>74</v>
      </c>
    </row>
    <row r="104" spans="1:16" x14ac:dyDescent="0.2">
      <c r="A104" s="147"/>
      <c r="B104" s="152" t="s">
        <v>50</v>
      </c>
      <c r="C104" s="230" t="s">
        <v>135</v>
      </c>
      <c r="D104" s="230" t="s">
        <v>135</v>
      </c>
      <c r="E104" s="315" t="str">
        <f t="shared" si="23"/>
        <v>-</v>
      </c>
      <c r="F104" s="230" t="s">
        <v>74</v>
      </c>
      <c r="G104" s="230"/>
      <c r="H104" s="230" t="s">
        <v>74</v>
      </c>
      <c r="I104" s="10">
        <f t="shared" si="24"/>
        <v>0</v>
      </c>
      <c r="J104" s="10">
        <f t="shared" si="25"/>
        <v>8</v>
      </c>
      <c r="K104" s="17" t="e">
        <f t="shared" si="20"/>
        <v>#N/A</v>
      </c>
      <c r="L104" s="17" t="e">
        <f t="shared" si="21"/>
        <v>#N/A</v>
      </c>
      <c r="M104" s="17" t="e">
        <f t="shared" ca="1" si="22"/>
        <v>#N/A</v>
      </c>
      <c r="N104" s="227"/>
      <c r="O104" s="227"/>
      <c r="P104" s="227" t="s">
        <v>74</v>
      </c>
    </row>
    <row r="105" spans="1:16" x14ac:dyDescent="0.2">
      <c r="A105" s="147"/>
      <c r="B105" s="152" t="s">
        <v>50</v>
      </c>
      <c r="C105" s="230" t="s">
        <v>135</v>
      </c>
      <c r="D105" s="230" t="s">
        <v>135</v>
      </c>
      <c r="E105" s="315" t="str">
        <f t="shared" si="23"/>
        <v>-</v>
      </c>
      <c r="F105" s="230" t="s">
        <v>74</v>
      </c>
      <c r="G105" s="230"/>
      <c r="H105" s="230" t="s">
        <v>74</v>
      </c>
      <c r="I105" s="10">
        <f t="shared" si="24"/>
        <v>0</v>
      </c>
      <c r="J105" s="10">
        <f t="shared" si="25"/>
        <v>9</v>
      </c>
      <c r="K105" s="17" t="e">
        <f t="shared" si="20"/>
        <v>#N/A</v>
      </c>
      <c r="L105" s="17" t="e">
        <f t="shared" si="21"/>
        <v>#N/A</v>
      </c>
      <c r="M105" s="17" t="e">
        <f t="shared" ca="1" si="22"/>
        <v>#N/A</v>
      </c>
      <c r="N105" s="227"/>
      <c r="O105" s="227"/>
      <c r="P105" s="227" t="s">
        <v>74</v>
      </c>
    </row>
    <row r="106" spans="1:16" x14ac:dyDescent="0.2">
      <c r="A106" s="147"/>
      <c r="B106" s="152" t="s">
        <v>50</v>
      </c>
      <c r="C106" s="230" t="s">
        <v>135</v>
      </c>
      <c r="D106" s="230" t="s">
        <v>135</v>
      </c>
      <c r="E106" s="315" t="str">
        <f t="shared" si="23"/>
        <v>-</v>
      </c>
      <c r="F106" s="230" t="s">
        <v>74</v>
      </c>
      <c r="G106" s="230"/>
      <c r="H106" s="230" t="s">
        <v>74</v>
      </c>
      <c r="I106" s="10">
        <f t="shared" si="24"/>
        <v>0</v>
      </c>
      <c r="J106" s="10">
        <f t="shared" si="25"/>
        <v>10</v>
      </c>
      <c r="K106" s="17" t="e">
        <f t="shared" si="20"/>
        <v>#N/A</v>
      </c>
      <c r="L106" s="17" t="e">
        <f t="shared" si="21"/>
        <v>#N/A</v>
      </c>
      <c r="M106" s="17" t="e">
        <f t="shared" ca="1" si="22"/>
        <v>#N/A</v>
      </c>
      <c r="N106" s="227"/>
      <c r="O106" s="227"/>
      <c r="P106" s="227" t="s">
        <v>74</v>
      </c>
    </row>
    <row r="107" spans="1:16" x14ac:dyDescent="0.2">
      <c r="A107" s="147"/>
      <c r="B107" s="152" t="s">
        <v>50</v>
      </c>
      <c r="C107" s="230" t="s">
        <v>135</v>
      </c>
      <c r="D107" s="230" t="s">
        <v>135</v>
      </c>
      <c r="E107" s="315" t="str">
        <f t="shared" si="23"/>
        <v>-</v>
      </c>
      <c r="F107" s="230" t="s">
        <v>74</v>
      </c>
      <c r="G107" s="230"/>
      <c r="H107" s="230" t="s">
        <v>74</v>
      </c>
      <c r="I107" s="10">
        <f t="shared" si="24"/>
        <v>0</v>
      </c>
      <c r="J107" s="10">
        <f t="shared" si="25"/>
        <v>11</v>
      </c>
      <c r="K107" s="17" t="e">
        <f t="shared" si="20"/>
        <v>#N/A</v>
      </c>
      <c r="L107" s="17" t="e">
        <f t="shared" si="21"/>
        <v>#N/A</v>
      </c>
      <c r="M107" s="17" t="e">
        <f t="shared" ca="1" si="22"/>
        <v>#N/A</v>
      </c>
      <c r="N107" s="227"/>
      <c r="O107" s="227"/>
      <c r="P107" s="227" t="s">
        <v>74</v>
      </c>
    </row>
    <row r="108" spans="1:16" x14ac:dyDescent="0.2">
      <c r="A108" s="147"/>
      <c r="B108" s="152" t="s">
        <v>50</v>
      </c>
      <c r="C108" s="230" t="s">
        <v>135</v>
      </c>
      <c r="D108" s="230" t="s">
        <v>135</v>
      </c>
      <c r="E108" s="315" t="str">
        <f t="shared" si="23"/>
        <v>-</v>
      </c>
      <c r="F108" s="230" t="s">
        <v>74</v>
      </c>
      <c r="G108" s="230"/>
      <c r="H108" s="230" t="s">
        <v>74</v>
      </c>
      <c r="I108" s="10">
        <f t="shared" si="24"/>
        <v>0</v>
      </c>
      <c r="J108" s="10">
        <f t="shared" si="25"/>
        <v>12</v>
      </c>
      <c r="K108" s="17" t="e">
        <f t="shared" si="20"/>
        <v>#N/A</v>
      </c>
      <c r="L108" s="17" t="e">
        <f t="shared" si="21"/>
        <v>#N/A</v>
      </c>
      <c r="M108" s="17" t="e">
        <f t="shared" ca="1" si="22"/>
        <v>#N/A</v>
      </c>
      <c r="N108" s="227"/>
      <c r="O108" s="227"/>
      <c r="P108" s="227" t="s">
        <v>74</v>
      </c>
    </row>
    <row r="109" spans="1:16" x14ac:dyDescent="0.2">
      <c r="A109" s="147"/>
      <c r="B109" s="152" t="s">
        <v>50</v>
      </c>
      <c r="C109" s="230" t="s">
        <v>135</v>
      </c>
      <c r="D109" s="230" t="s">
        <v>135</v>
      </c>
      <c r="E109" s="315" t="str">
        <f t="shared" si="23"/>
        <v>-</v>
      </c>
      <c r="F109" s="230" t="s">
        <v>74</v>
      </c>
      <c r="G109" s="230"/>
      <c r="H109" s="230" t="s">
        <v>74</v>
      </c>
      <c r="I109" s="10">
        <f t="shared" si="24"/>
        <v>0</v>
      </c>
      <c r="J109" s="10">
        <f t="shared" si="25"/>
        <v>13</v>
      </c>
      <c r="K109" s="17" t="e">
        <f t="shared" si="20"/>
        <v>#N/A</v>
      </c>
      <c r="L109" s="17" t="e">
        <f t="shared" si="21"/>
        <v>#N/A</v>
      </c>
      <c r="M109" s="17" t="e">
        <f t="shared" ca="1" si="22"/>
        <v>#N/A</v>
      </c>
      <c r="N109" s="227"/>
      <c r="O109" s="227"/>
      <c r="P109" s="227" t="s">
        <v>74</v>
      </c>
    </row>
    <row r="110" spans="1:16" x14ac:dyDescent="0.2">
      <c r="A110" s="147"/>
      <c r="B110" s="152" t="s">
        <v>50</v>
      </c>
      <c r="C110" s="230" t="s">
        <v>135</v>
      </c>
      <c r="D110" s="230" t="s">
        <v>135</v>
      </c>
      <c r="E110" s="315" t="str">
        <f t="shared" si="23"/>
        <v>-</v>
      </c>
      <c r="F110" s="230" t="s">
        <v>74</v>
      </c>
      <c r="G110" s="230"/>
      <c r="H110" s="230" t="s">
        <v>74</v>
      </c>
      <c r="I110" s="10">
        <f t="shared" si="24"/>
        <v>0</v>
      </c>
      <c r="J110" s="10">
        <f t="shared" si="25"/>
        <v>14</v>
      </c>
      <c r="K110" s="17" t="e">
        <f t="shared" si="20"/>
        <v>#N/A</v>
      </c>
      <c r="L110" s="17" t="e">
        <f t="shared" si="21"/>
        <v>#N/A</v>
      </c>
      <c r="M110" s="17" t="e">
        <f t="shared" ca="1" si="22"/>
        <v>#N/A</v>
      </c>
      <c r="N110" s="227"/>
      <c r="O110" s="227"/>
      <c r="P110" s="227" t="s">
        <v>74</v>
      </c>
    </row>
    <row r="111" spans="1:16" x14ac:dyDescent="0.2">
      <c r="A111" s="147"/>
      <c r="B111" s="152" t="s">
        <v>50</v>
      </c>
      <c r="C111" s="230" t="s">
        <v>135</v>
      </c>
      <c r="D111" s="230" t="s">
        <v>135</v>
      </c>
      <c r="E111" s="315" t="str">
        <f t="shared" si="23"/>
        <v>-</v>
      </c>
      <c r="F111" s="230" t="s">
        <v>74</v>
      </c>
      <c r="G111" s="230"/>
      <c r="H111" s="230" t="s">
        <v>74</v>
      </c>
      <c r="I111" s="10">
        <f t="shared" si="24"/>
        <v>0</v>
      </c>
      <c r="J111" s="10">
        <f t="shared" si="25"/>
        <v>15</v>
      </c>
      <c r="K111" s="17" t="e">
        <f t="shared" si="20"/>
        <v>#N/A</v>
      </c>
      <c r="L111" s="17" t="e">
        <f t="shared" si="21"/>
        <v>#N/A</v>
      </c>
      <c r="M111" s="17" t="e">
        <f t="shared" ca="1" si="22"/>
        <v>#N/A</v>
      </c>
      <c r="N111" s="227"/>
      <c r="O111" s="227"/>
      <c r="P111" s="227" t="s">
        <v>74</v>
      </c>
    </row>
    <row r="112" spans="1:16" x14ac:dyDescent="0.2">
      <c r="A112" s="147"/>
      <c r="B112" s="152" t="s">
        <v>50</v>
      </c>
      <c r="C112" s="230" t="s">
        <v>135</v>
      </c>
      <c r="D112" s="230" t="s">
        <v>135</v>
      </c>
      <c r="E112" s="315" t="str">
        <f t="shared" si="23"/>
        <v>-</v>
      </c>
      <c r="F112" s="230" t="s">
        <v>74</v>
      </c>
      <c r="G112" s="230"/>
      <c r="H112" s="230" t="s">
        <v>74</v>
      </c>
      <c r="I112" s="10">
        <f t="shared" si="24"/>
        <v>0</v>
      </c>
      <c r="J112" s="10">
        <f t="shared" si="25"/>
        <v>16</v>
      </c>
      <c r="K112" s="17" t="e">
        <f t="shared" si="20"/>
        <v>#N/A</v>
      </c>
      <c r="L112" s="17" t="e">
        <f t="shared" si="21"/>
        <v>#N/A</v>
      </c>
      <c r="M112" s="17" t="e">
        <f t="shared" ca="1" si="22"/>
        <v>#N/A</v>
      </c>
      <c r="N112" s="227"/>
      <c r="O112" s="227"/>
      <c r="P112" s="227" t="s">
        <v>74</v>
      </c>
    </row>
    <row r="113" spans="1:16" x14ac:dyDescent="0.2">
      <c r="A113" s="147"/>
      <c r="B113" s="152" t="s">
        <v>50</v>
      </c>
      <c r="C113" s="230" t="s">
        <v>135</v>
      </c>
      <c r="D113" s="230" t="s">
        <v>135</v>
      </c>
      <c r="E113" s="315" t="str">
        <f t="shared" si="23"/>
        <v>-</v>
      </c>
      <c r="F113" s="230" t="s">
        <v>74</v>
      </c>
      <c r="G113" s="230"/>
      <c r="H113" s="230" t="s">
        <v>74</v>
      </c>
      <c r="I113" s="10">
        <f t="shared" si="24"/>
        <v>0</v>
      </c>
      <c r="J113" s="10">
        <f t="shared" si="25"/>
        <v>17</v>
      </c>
      <c r="K113" s="17" t="e">
        <f t="shared" si="20"/>
        <v>#N/A</v>
      </c>
      <c r="L113" s="17" t="e">
        <f t="shared" si="21"/>
        <v>#N/A</v>
      </c>
      <c r="M113" s="17" t="e">
        <f t="shared" ca="1" si="22"/>
        <v>#N/A</v>
      </c>
      <c r="N113" s="227"/>
      <c r="O113" s="227"/>
      <c r="P113" s="227" t="s">
        <v>74</v>
      </c>
    </row>
    <row r="114" spans="1:16" x14ac:dyDescent="0.2">
      <c r="A114" s="147"/>
      <c r="B114" s="152" t="s">
        <v>50</v>
      </c>
      <c r="C114" s="230" t="s">
        <v>135</v>
      </c>
      <c r="D114" s="230" t="s">
        <v>135</v>
      </c>
      <c r="E114" s="315" t="str">
        <f t="shared" si="23"/>
        <v>-</v>
      </c>
      <c r="F114" s="230" t="s">
        <v>74</v>
      </c>
      <c r="G114" s="230"/>
      <c r="H114" s="230" t="s">
        <v>74</v>
      </c>
      <c r="I114" s="10">
        <f t="shared" si="24"/>
        <v>0</v>
      </c>
      <c r="J114" s="10">
        <f t="shared" si="25"/>
        <v>18</v>
      </c>
      <c r="K114" s="17" t="e">
        <f t="shared" si="20"/>
        <v>#N/A</v>
      </c>
      <c r="L114" s="17" t="e">
        <f t="shared" si="21"/>
        <v>#N/A</v>
      </c>
      <c r="M114" s="17" t="e">
        <f t="shared" ca="1" si="22"/>
        <v>#N/A</v>
      </c>
      <c r="N114" s="227"/>
      <c r="O114" s="227"/>
      <c r="P114" s="227" t="s">
        <v>74</v>
      </c>
    </row>
    <row r="115" spans="1:16" x14ac:dyDescent="0.2">
      <c r="A115" s="147"/>
      <c r="B115" s="152" t="s">
        <v>50</v>
      </c>
      <c r="C115" s="230" t="s">
        <v>135</v>
      </c>
      <c r="D115" s="230" t="s">
        <v>135</v>
      </c>
      <c r="E115" s="315" t="str">
        <f t="shared" si="23"/>
        <v>-</v>
      </c>
      <c r="F115" s="230" t="s">
        <v>74</v>
      </c>
      <c r="G115" s="230"/>
      <c r="H115" s="230" t="s">
        <v>74</v>
      </c>
      <c r="I115" s="10">
        <f t="shared" si="24"/>
        <v>0</v>
      </c>
      <c r="J115" s="10">
        <f t="shared" si="25"/>
        <v>19</v>
      </c>
      <c r="K115" s="17" t="e">
        <f t="shared" si="20"/>
        <v>#N/A</v>
      </c>
      <c r="L115" s="17" t="e">
        <f t="shared" si="21"/>
        <v>#N/A</v>
      </c>
      <c r="M115" s="17" t="e">
        <f t="shared" ca="1" si="22"/>
        <v>#N/A</v>
      </c>
      <c r="N115" s="227"/>
      <c r="O115" s="227"/>
      <c r="P115" s="227" t="s">
        <v>74</v>
      </c>
    </row>
    <row r="116" spans="1:16" x14ac:dyDescent="0.2">
      <c r="A116" s="147"/>
      <c r="B116" s="152" t="s">
        <v>50</v>
      </c>
      <c r="C116" s="230" t="s">
        <v>135</v>
      </c>
      <c r="D116" s="230" t="s">
        <v>135</v>
      </c>
      <c r="E116" s="315" t="str">
        <f t="shared" si="23"/>
        <v>-</v>
      </c>
      <c r="F116" s="230" t="s">
        <v>74</v>
      </c>
      <c r="G116" s="230"/>
      <c r="H116" s="230" t="s">
        <v>74</v>
      </c>
      <c r="I116" s="10">
        <f t="shared" si="24"/>
        <v>0</v>
      </c>
      <c r="J116" s="10">
        <f t="shared" si="25"/>
        <v>20</v>
      </c>
      <c r="K116" s="17" t="e">
        <f t="shared" si="20"/>
        <v>#N/A</v>
      </c>
      <c r="L116" s="17" t="e">
        <f t="shared" si="21"/>
        <v>#N/A</v>
      </c>
      <c r="M116" s="17" t="e">
        <f t="shared" ca="1" si="22"/>
        <v>#N/A</v>
      </c>
      <c r="N116" s="227"/>
      <c r="O116" s="227"/>
      <c r="P116" s="227" t="s">
        <v>74</v>
      </c>
    </row>
    <row r="117" spans="1:16" x14ac:dyDescent="0.2">
      <c r="A117" s="147"/>
      <c r="B117" s="152" t="s">
        <v>50</v>
      </c>
      <c r="C117" s="230" t="s">
        <v>135</v>
      </c>
      <c r="D117" s="230" t="s">
        <v>135</v>
      </c>
      <c r="E117" s="315" t="str">
        <f t="shared" si="23"/>
        <v>-</v>
      </c>
      <c r="F117" s="230" t="s">
        <v>74</v>
      </c>
      <c r="G117" s="230"/>
      <c r="H117" s="230" t="s">
        <v>74</v>
      </c>
      <c r="I117" s="10">
        <f t="shared" si="24"/>
        <v>0</v>
      </c>
      <c r="J117" s="10">
        <f t="shared" si="25"/>
        <v>21</v>
      </c>
      <c r="K117" s="17" t="e">
        <f t="shared" si="20"/>
        <v>#N/A</v>
      </c>
      <c r="L117" s="17" t="e">
        <f t="shared" si="21"/>
        <v>#N/A</v>
      </c>
      <c r="M117" s="17" t="e">
        <f t="shared" ca="1" si="22"/>
        <v>#N/A</v>
      </c>
      <c r="N117" s="227"/>
      <c r="O117" s="227"/>
      <c r="P117" s="227" t="s">
        <v>74</v>
      </c>
    </row>
    <row r="118" spans="1:16" x14ac:dyDescent="0.2">
      <c r="A118" s="147"/>
      <c r="B118" s="152" t="s">
        <v>50</v>
      </c>
      <c r="C118" s="230" t="s">
        <v>135</v>
      </c>
      <c r="D118" s="230" t="s">
        <v>135</v>
      </c>
      <c r="E118" s="315" t="str">
        <f t="shared" si="23"/>
        <v>-</v>
      </c>
      <c r="F118" s="230" t="s">
        <v>74</v>
      </c>
      <c r="G118" s="230"/>
      <c r="H118" s="230" t="s">
        <v>74</v>
      </c>
      <c r="I118" s="10">
        <f t="shared" si="24"/>
        <v>0</v>
      </c>
      <c r="J118" s="10">
        <f t="shared" si="25"/>
        <v>22</v>
      </c>
      <c r="K118" s="17" t="e">
        <f t="shared" si="20"/>
        <v>#N/A</v>
      </c>
      <c r="L118" s="17" t="e">
        <f t="shared" si="21"/>
        <v>#N/A</v>
      </c>
      <c r="M118" s="17" t="e">
        <f t="shared" ca="1" si="22"/>
        <v>#N/A</v>
      </c>
      <c r="N118" s="227"/>
      <c r="O118" s="227"/>
      <c r="P118" s="227" t="s">
        <v>74</v>
      </c>
    </row>
    <row r="119" spans="1:16" x14ac:dyDescent="0.2">
      <c r="A119" s="147"/>
      <c r="B119" s="152" t="s">
        <v>50</v>
      </c>
      <c r="C119" s="230" t="s">
        <v>135</v>
      </c>
      <c r="D119" s="230" t="s">
        <v>135</v>
      </c>
      <c r="E119" s="315" t="str">
        <f t="shared" si="23"/>
        <v>-</v>
      </c>
      <c r="F119" s="230" t="s">
        <v>74</v>
      </c>
      <c r="G119" s="230"/>
      <c r="H119" s="230" t="s">
        <v>74</v>
      </c>
      <c r="I119" s="10">
        <f t="shared" si="24"/>
        <v>0</v>
      </c>
      <c r="J119" s="10">
        <f t="shared" si="25"/>
        <v>23</v>
      </c>
      <c r="K119" s="17" t="e">
        <f t="shared" si="20"/>
        <v>#N/A</v>
      </c>
      <c r="L119" s="17" t="e">
        <f t="shared" si="21"/>
        <v>#N/A</v>
      </c>
      <c r="M119" s="17" t="e">
        <f t="shared" ca="1" si="22"/>
        <v>#N/A</v>
      </c>
      <c r="N119" s="227"/>
      <c r="O119" s="227"/>
      <c r="P119" s="227" t="s">
        <v>74</v>
      </c>
    </row>
    <row r="120" spans="1:16" x14ac:dyDescent="0.2">
      <c r="A120" s="147"/>
      <c r="B120" s="152" t="s">
        <v>50</v>
      </c>
      <c r="C120" s="230" t="s">
        <v>135</v>
      </c>
      <c r="D120" s="230" t="s">
        <v>135</v>
      </c>
      <c r="E120" s="315" t="str">
        <f t="shared" si="23"/>
        <v>-</v>
      </c>
      <c r="F120" s="230" t="s">
        <v>74</v>
      </c>
      <c r="G120" s="230"/>
      <c r="H120" s="230" t="s">
        <v>74</v>
      </c>
      <c r="I120" s="10">
        <f t="shared" si="24"/>
        <v>0</v>
      </c>
      <c r="J120" s="10">
        <f t="shared" si="25"/>
        <v>24</v>
      </c>
      <c r="K120" s="17" t="e">
        <f t="shared" si="20"/>
        <v>#N/A</v>
      </c>
      <c r="L120" s="17" t="e">
        <f t="shared" si="21"/>
        <v>#N/A</v>
      </c>
      <c r="M120" s="17" t="e">
        <f t="shared" ca="1" si="22"/>
        <v>#N/A</v>
      </c>
      <c r="N120" s="227"/>
      <c r="O120" s="227"/>
      <c r="P120" s="227" t="s">
        <v>74</v>
      </c>
    </row>
    <row r="121" spans="1:16" x14ac:dyDescent="0.2">
      <c r="A121" s="147"/>
      <c r="B121" s="152" t="s">
        <v>50</v>
      </c>
      <c r="C121" s="230" t="s">
        <v>135</v>
      </c>
      <c r="D121" s="230" t="s">
        <v>135</v>
      </c>
      <c r="E121" s="315" t="str">
        <f t="shared" si="23"/>
        <v>-</v>
      </c>
      <c r="F121" s="230" t="s">
        <v>74</v>
      </c>
      <c r="G121" s="230"/>
      <c r="H121" s="230" t="s">
        <v>74</v>
      </c>
      <c r="I121" s="10">
        <f t="shared" si="24"/>
        <v>0</v>
      </c>
      <c r="J121" s="10">
        <f t="shared" si="25"/>
        <v>25</v>
      </c>
      <c r="K121" s="17" t="e">
        <f t="shared" si="20"/>
        <v>#N/A</v>
      </c>
      <c r="L121" s="17" t="e">
        <f t="shared" si="21"/>
        <v>#N/A</v>
      </c>
      <c r="M121" s="17" t="e">
        <f t="shared" ca="1" si="22"/>
        <v>#N/A</v>
      </c>
      <c r="N121" s="227"/>
      <c r="O121" s="227"/>
      <c r="P121" s="227" t="s">
        <v>74</v>
      </c>
    </row>
    <row r="122" spans="1:16" x14ac:dyDescent="0.2">
      <c r="A122" s="147"/>
      <c r="B122" s="152" t="s">
        <v>50</v>
      </c>
      <c r="C122" s="230" t="s">
        <v>135</v>
      </c>
      <c r="D122" s="230" t="s">
        <v>135</v>
      </c>
      <c r="E122" s="315" t="str">
        <f t="shared" si="23"/>
        <v>-</v>
      </c>
      <c r="F122" s="230" t="s">
        <v>74</v>
      </c>
      <c r="G122" s="230"/>
      <c r="H122" s="230" t="s">
        <v>74</v>
      </c>
      <c r="I122" s="10">
        <f t="shared" si="24"/>
        <v>0</v>
      </c>
      <c r="J122" s="10">
        <f t="shared" si="25"/>
        <v>26</v>
      </c>
      <c r="K122" s="17" t="e">
        <f t="shared" si="20"/>
        <v>#N/A</v>
      </c>
      <c r="L122" s="17" t="e">
        <f t="shared" si="21"/>
        <v>#N/A</v>
      </c>
      <c r="M122" s="17" t="e">
        <f t="shared" ca="1" si="22"/>
        <v>#N/A</v>
      </c>
      <c r="N122" s="227"/>
      <c r="O122" s="227"/>
      <c r="P122" s="227" t="s">
        <v>74</v>
      </c>
    </row>
    <row r="123" spans="1:16" x14ac:dyDescent="0.2">
      <c r="A123" s="147"/>
      <c r="B123" s="152" t="s">
        <v>50</v>
      </c>
      <c r="C123" s="230" t="s">
        <v>135</v>
      </c>
      <c r="D123" s="230" t="s">
        <v>135</v>
      </c>
      <c r="E123" s="315" t="str">
        <f t="shared" si="23"/>
        <v>-</v>
      </c>
      <c r="F123" s="230" t="s">
        <v>74</v>
      </c>
      <c r="G123" s="230"/>
      <c r="H123" s="230" t="s">
        <v>74</v>
      </c>
      <c r="I123" s="10">
        <f t="shared" si="24"/>
        <v>0</v>
      </c>
      <c r="J123" s="10">
        <f t="shared" si="25"/>
        <v>27</v>
      </c>
      <c r="K123" s="17" t="e">
        <f t="shared" si="20"/>
        <v>#N/A</v>
      </c>
      <c r="L123" s="17" t="e">
        <f t="shared" si="21"/>
        <v>#N/A</v>
      </c>
      <c r="M123" s="17" t="e">
        <f t="shared" ca="1" si="22"/>
        <v>#N/A</v>
      </c>
      <c r="N123" s="227"/>
      <c r="O123" s="227"/>
      <c r="P123" s="227" t="s">
        <v>74</v>
      </c>
    </row>
    <row r="124" spans="1:16" x14ac:dyDescent="0.2">
      <c r="A124" s="147"/>
      <c r="B124" s="152" t="s">
        <v>50</v>
      </c>
      <c r="C124" s="230" t="s">
        <v>135</v>
      </c>
      <c r="D124" s="230" t="s">
        <v>135</v>
      </c>
      <c r="E124" s="315" t="str">
        <f t="shared" si="23"/>
        <v>-</v>
      </c>
      <c r="F124" s="230" t="s">
        <v>74</v>
      </c>
      <c r="G124" s="230"/>
      <c r="H124" s="230" t="s">
        <v>74</v>
      </c>
      <c r="I124" s="10">
        <f t="shared" si="24"/>
        <v>0</v>
      </c>
      <c r="J124" s="10">
        <f t="shared" si="25"/>
        <v>28</v>
      </c>
      <c r="K124" s="17" t="e">
        <f t="shared" si="20"/>
        <v>#N/A</v>
      </c>
      <c r="L124" s="17" t="e">
        <f t="shared" si="21"/>
        <v>#N/A</v>
      </c>
      <c r="M124" s="17" t="e">
        <f t="shared" ca="1" si="22"/>
        <v>#N/A</v>
      </c>
      <c r="N124" s="227"/>
      <c r="O124" s="227"/>
      <c r="P124" s="227" t="s">
        <v>74</v>
      </c>
    </row>
    <row r="125" spans="1:16" x14ac:dyDescent="0.2">
      <c r="A125" s="147"/>
      <c r="B125" s="152" t="s">
        <v>50</v>
      </c>
      <c r="C125" s="230" t="s">
        <v>135</v>
      </c>
      <c r="D125" s="230" t="s">
        <v>135</v>
      </c>
      <c r="E125" s="315" t="str">
        <f t="shared" si="23"/>
        <v>-</v>
      </c>
      <c r="F125" s="230" t="s">
        <v>74</v>
      </c>
      <c r="G125" s="230"/>
      <c r="H125" s="230" t="s">
        <v>74</v>
      </c>
      <c r="I125" s="10">
        <f t="shared" si="24"/>
        <v>0</v>
      </c>
      <c r="J125" s="10">
        <f t="shared" si="25"/>
        <v>29</v>
      </c>
      <c r="K125" s="17" t="e">
        <f t="shared" si="20"/>
        <v>#N/A</v>
      </c>
      <c r="L125" s="17" t="e">
        <f t="shared" si="21"/>
        <v>#N/A</v>
      </c>
      <c r="M125" s="17" t="e">
        <f t="shared" ca="1" si="22"/>
        <v>#N/A</v>
      </c>
      <c r="N125" s="227"/>
      <c r="O125" s="227"/>
      <c r="P125" s="227" t="s">
        <v>74</v>
      </c>
    </row>
    <row r="126" spans="1:16" x14ac:dyDescent="0.2">
      <c r="A126" s="147"/>
      <c r="B126" s="152" t="s">
        <v>50</v>
      </c>
      <c r="C126" s="230" t="s">
        <v>135</v>
      </c>
      <c r="D126" s="230" t="s">
        <v>135</v>
      </c>
      <c r="E126" s="315" t="str">
        <f t="shared" si="23"/>
        <v>-</v>
      </c>
      <c r="F126" s="230" t="s">
        <v>74</v>
      </c>
      <c r="G126" s="230"/>
      <c r="H126" s="230" t="s">
        <v>74</v>
      </c>
      <c r="I126" s="10">
        <f t="shared" si="24"/>
        <v>0</v>
      </c>
      <c r="J126" s="10">
        <f t="shared" si="25"/>
        <v>30</v>
      </c>
      <c r="K126" s="17" t="e">
        <f t="shared" si="20"/>
        <v>#N/A</v>
      </c>
      <c r="L126" s="17" t="e">
        <f t="shared" si="21"/>
        <v>#N/A</v>
      </c>
      <c r="M126" s="17" t="e">
        <f t="shared" ca="1" si="22"/>
        <v>#N/A</v>
      </c>
      <c r="N126" s="227"/>
      <c r="O126" s="227"/>
      <c r="P126" s="227" t="s">
        <v>74</v>
      </c>
    </row>
    <row r="127" spans="1:16" x14ac:dyDescent="0.2">
      <c r="A127" s="147"/>
      <c r="B127" s="152" t="s">
        <v>50</v>
      </c>
      <c r="C127" s="230" t="s">
        <v>135</v>
      </c>
      <c r="D127" s="230" t="s">
        <v>135</v>
      </c>
      <c r="E127" s="315" t="str">
        <f t="shared" si="23"/>
        <v>-</v>
      </c>
      <c r="F127" s="230" t="s">
        <v>74</v>
      </c>
      <c r="G127" s="230"/>
      <c r="H127" s="230" t="s">
        <v>74</v>
      </c>
      <c r="I127" s="10">
        <f t="shared" si="24"/>
        <v>0</v>
      </c>
      <c r="J127" s="10">
        <f t="shared" si="25"/>
        <v>31</v>
      </c>
      <c r="K127" s="17" t="e">
        <f t="shared" si="20"/>
        <v>#N/A</v>
      </c>
      <c r="L127" s="17" t="e">
        <f t="shared" si="21"/>
        <v>#N/A</v>
      </c>
      <c r="M127" s="17" t="e">
        <f t="shared" ca="1" si="22"/>
        <v>#N/A</v>
      </c>
      <c r="N127" s="227"/>
      <c r="O127" s="227"/>
      <c r="P127" s="227" t="s">
        <v>74</v>
      </c>
    </row>
    <row r="128" spans="1:16" ht="16" thickBot="1" x14ac:dyDescent="0.25">
      <c r="A128" s="147"/>
      <c r="B128" s="136" t="s">
        <v>50</v>
      </c>
      <c r="C128" s="137" t="s">
        <v>135</v>
      </c>
      <c r="D128" s="137" t="s">
        <v>135</v>
      </c>
      <c r="E128" s="317" t="str">
        <f t="shared" si="23"/>
        <v>-</v>
      </c>
      <c r="F128" s="137" t="s">
        <v>74</v>
      </c>
      <c r="G128" s="137"/>
      <c r="H128" s="137" t="s">
        <v>74</v>
      </c>
      <c r="I128" s="12">
        <f t="shared" si="24"/>
        <v>0</v>
      </c>
      <c r="J128" s="12">
        <f t="shared" si="25"/>
        <v>32</v>
      </c>
      <c r="K128" s="18" t="e">
        <f t="shared" si="20"/>
        <v>#N/A</v>
      </c>
      <c r="L128" s="18" t="e">
        <f t="shared" si="21"/>
        <v>#N/A</v>
      </c>
      <c r="M128" s="18" t="e">
        <f t="shared" ca="1" si="22"/>
        <v>#N/A</v>
      </c>
      <c r="N128" s="228"/>
      <c r="O128" s="228"/>
      <c r="P128" s="228" t="s">
        <v>74</v>
      </c>
    </row>
    <row r="129" spans="1:16" x14ac:dyDescent="0.2">
      <c r="A129" s="147"/>
      <c r="B129" s="255" t="s">
        <v>50</v>
      </c>
      <c r="C129" s="256" t="s">
        <v>135</v>
      </c>
      <c r="D129" s="256" t="s">
        <v>135</v>
      </c>
      <c r="E129" s="320" t="str">
        <f t="shared" si="23"/>
        <v>-</v>
      </c>
      <c r="F129" s="256" t="s">
        <v>74</v>
      </c>
      <c r="G129" s="325"/>
      <c r="H129" s="256" t="s">
        <v>74</v>
      </c>
      <c r="I129" s="254">
        <f t="shared" si="24"/>
        <v>0</v>
      </c>
      <c r="J129" s="5">
        <v>1</v>
      </c>
      <c r="K129" s="15" t="e">
        <f t="shared" si="20"/>
        <v>#N/A</v>
      </c>
      <c r="L129" s="15" t="e">
        <f t="shared" si="21"/>
        <v>#N/A</v>
      </c>
      <c r="M129" s="15" t="e">
        <f t="shared" ca="1" si="22"/>
        <v>#N/A</v>
      </c>
      <c r="N129" s="226"/>
      <c r="O129" s="226"/>
      <c r="P129" s="226" t="s">
        <v>74</v>
      </c>
    </row>
    <row r="130" spans="1:16" x14ac:dyDescent="0.2">
      <c r="A130" s="147"/>
      <c r="B130" s="152" t="s">
        <v>50</v>
      </c>
      <c r="C130" s="230" t="s">
        <v>135</v>
      </c>
      <c r="D130" s="230" t="s">
        <v>135</v>
      </c>
      <c r="E130" s="315" t="str">
        <f t="shared" si="23"/>
        <v>-</v>
      </c>
      <c r="F130" s="230" t="s">
        <v>74</v>
      </c>
      <c r="G130" s="230"/>
      <c r="H130" s="230" t="s">
        <v>74</v>
      </c>
      <c r="I130" s="10">
        <f t="shared" si="24"/>
        <v>0</v>
      </c>
      <c r="J130" s="6">
        <f t="shared" ref="J130:J160" si="26">IF(AND(H130=H129,B130=B129), J129+1,1)</f>
        <v>2</v>
      </c>
      <c r="K130" s="16" t="e">
        <f t="shared" si="20"/>
        <v>#N/A</v>
      </c>
      <c r="L130" s="16" t="e">
        <f t="shared" si="21"/>
        <v>#N/A</v>
      </c>
      <c r="M130" s="16" t="e">
        <f t="shared" ca="1" si="22"/>
        <v>#N/A</v>
      </c>
      <c r="N130" s="227"/>
      <c r="O130" s="227"/>
      <c r="P130" s="227" t="s">
        <v>74</v>
      </c>
    </row>
    <row r="131" spans="1:16" x14ac:dyDescent="0.2">
      <c r="A131" s="147"/>
      <c r="B131" s="152" t="s">
        <v>50</v>
      </c>
      <c r="C131" s="230" t="s">
        <v>135</v>
      </c>
      <c r="D131" s="230" t="s">
        <v>135</v>
      </c>
      <c r="E131" s="315" t="str">
        <f t="shared" si="23"/>
        <v>-</v>
      </c>
      <c r="F131" s="230" t="s">
        <v>74</v>
      </c>
      <c r="G131" s="230"/>
      <c r="H131" s="230" t="s">
        <v>74</v>
      </c>
      <c r="I131" s="10">
        <f t="shared" si="24"/>
        <v>0</v>
      </c>
      <c r="J131" s="6">
        <f t="shared" si="26"/>
        <v>3</v>
      </c>
      <c r="K131" s="16" t="e">
        <f t="shared" si="20"/>
        <v>#N/A</v>
      </c>
      <c r="L131" s="16" t="e">
        <f t="shared" si="21"/>
        <v>#N/A</v>
      </c>
      <c r="M131" s="16" t="e">
        <f t="shared" ca="1" si="22"/>
        <v>#N/A</v>
      </c>
      <c r="N131" s="227"/>
      <c r="O131" s="227"/>
      <c r="P131" s="227" t="s">
        <v>74</v>
      </c>
    </row>
    <row r="132" spans="1:16" x14ac:dyDescent="0.2">
      <c r="A132" s="147"/>
      <c r="B132" s="152" t="s">
        <v>50</v>
      </c>
      <c r="C132" s="230" t="s">
        <v>135</v>
      </c>
      <c r="D132" s="230" t="s">
        <v>135</v>
      </c>
      <c r="E132" s="315" t="str">
        <f t="shared" si="23"/>
        <v>-</v>
      </c>
      <c r="F132" s="230" t="s">
        <v>74</v>
      </c>
      <c r="G132" s="230"/>
      <c r="H132" s="230" t="s">
        <v>74</v>
      </c>
      <c r="I132" s="10">
        <f t="shared" si="24"/>
        <v>0</v>
      </c>
      <c r="J132" s="6">
        <f t="shared" si="26"/>
        <v>4</v>
      </c>
      <c r="K132" s="16" t="e">
        <f t="shared" si="20"/>
        <v>#N/A</v>
      </c>
      <c r="L132" s="16" t="e">
        <f t="shared" si="21"/>
        <v>#N/A</v>
      </c>
      <c r="M132" s="16" t="e">
        <f t="shared" ca="1" si="22"/>
        <v>#N/A</v>
      </c>
      <c r="N132" s="227"/>
      <c r="O132" s="227"/>
      <c r="P132" s="227" t="s">
        <v>74</v>
      </c>
    </row>
    <row r="133" spans="1:16" x14ac:dyDescent="0.2">
      <c r="A133" s="147"/>
      <c r="B133" s="152" t="s">
        <v>50</v>
      </c>
      <c r="C133" s="230" t="s">
        <v>135</v>
      </c>
      <c r="D133" s="230" t="s">
        <v>135</v>
      </c>
      <c r="E133" s="315" t="str">
        <f t="shared" si="23"/>
        <v>-</v>
      </c>
      <c r="F133" s="230" t="s">
        <v>74</v>
      </c>
      <c r="G133" s="230"/>
      <c r="H133" s="230" t="s">
        <v>74</v>
      </c>
      <c r="I133" s="10">
        <f t="shared" si="24"/>
        <v>0</v>
      </c>
      <c r="J133" s="10">
        <f t="shared" si="26"/>
        <v>5</v>
      </c>
      <c r="K133" s="17" t="e">
        <f t="shared" si="20"/>
        <v>#N/A</v>
      </c>
      <c r="L133" s="17" t="e">
        <f t="shared" si="21"/>
        <v>#N/A</v>
      </c>
      <c r="M133" s="17" t="e">
        <f t="shared" ca="1" si="22"/>
        <v>#N/A</v>
      </c>
      <c r="N133" s="227"/>
      <c r="O133" s="227"/>
      <c r="P133" s="227" t="s">
        <v>74</v>
      </c>
    </row>
    <row r="134" spans="1:16" x14ac:dyDescent="0.2">
      <c r="A134" s="147"/>
      <c r="B134" s="152" t="s">
        <v>50</v>
      </c>
      <c r="C134" s="230" t="s">
        <v>135</v>
      </c>
      <c r="D134" s="230" t="s">
        <v>135</v>
      </c>
      <c r="E134" s="315" t="str">
        <f t="shared" si="23"/>
        <v>-</v>
      </c>
      <c r="F134" s="230" t="s">
        <v>74</v>
      </c>
      <c r="G134" s="230"/>
      <c r="H134" s="230" t="s">
        <v>74</v>
      </c>
      <c r="I134" s="10">
        <f t="shared" si="24"/>
        <v>0</v>
      </c>
      <c r="J134" s="10">
        <f t="shared" si="26"/>
        <v>6</v>
      </c>
      <c r="K134" s="17" t="e">
        <f t="shared" si="20"/>
        <v>#N/A</v>
      </c>
      <c r="L134" s="17" t="e">
        <f t="shared" si="21"/>
        <v>#N/A</v>
      </c>
      <c r="M134" s="17" t="e">
        <f t="shared" ca="1" si="22"/>
        <v>#N/A</v>
      </c>
      <c r="N134" s="227"/>
      <c r="O134" s="227"/>
      <c r="P134" s="227" t="s">
        <v>74</v>
      </c>
    </row>
    <row r="135" spans="1:16" x14ac:dyDescent="0.2">
      <c r="A135" s="147"/>
      <c r="B135" s="152" t="s">
        <v>50</v>
      </c>
      <c r="C135" s="230" t="s">
        <v>135</v>
      </c>
      <c r="D135" s="230" t="s">
        <v>135</v>
      </c>
      <c r="E135" s="315" t="str">
        <f t="shared" si="23"/>
        <v>-</v>
      </c>
      <c r="F135" s="230" t="s">
        <v>74</v>
      </c>
      <c r="G135" s="230"/>
      <c r="H135" s="230" t="s">
        <v>74</v>
      </c>
      <c r="I135" s="10">
        <f t="shared" si="24"/>
        <v>0</v>
      </c>
      <c r="J135" s="10">
        <f t="shared" si="26"/>
        <v>7</v>
      </c>
      <c r="K135" s="17" t="e">
        <f t="shared" si="20"/>
        <v>#N/A</v>
      </c>
      <c r="L135" s="17" t="e">
        <f t="shared" si="21"/>
        <v>#N/A</v>
      </c>
      <c r="M135" s="17" t="e">
        <f t="shared" ca="1" si="22"/>
        <v>#N/A</v>
      </c>
      <c r="N135" s="227"/>
      <c r="O135" s="227"/>
      <c r="P135" s="227" t="s">
        <v>74</v>
      </c>
    </row>
    <row r="136" spans="1:16" x14ac:dyDescent="0.2">
      <c r="A136" s="147"/>
      <c r="B136" s="152" t="s">
        <v>50</v>
      </c>
      <c r="C136" s="230" t="s">
        <v>135</v>
      </c>
      <c r="D136" s="230" t="s">
        <v>135</v>
      </c>
      <c r="E136" s="315" t="str">
        <f t="shared" si="23"/>
        <v>-</v>
      </c>
      <c r="F136" s="230" t="s">
        <v>74</v>
      </c>
      <c r="G136" s="230"/>
      <c r="H136" s="230" t="s">
        <v>74</v>
      </c>
      <c r="I136" s="10">
        <f t="shared" si="24"/>
        <v>0</v>
      </c>
      <c r="J136" s="10">
        <f t="shared" si="26"/>
        <v>8</v>
      </c>
      <c r="K136" s="17" t="e">
        <f t="shared" si="20"/>
        <v>#N/A</v>
      </c>
      <c r="L136" s="17" t="e">
        <f t="shared" si="21"/>
        <v>#N/A</v>
      </c>
      <c r="M136" s="17" t="e">
        <f t="shared" ca="1" si="22"/>
        <v>#N/A</v>
      </c>
      <c r="N136" s="227"/>
      <c r="O136" s="227"/>
      <c r="P136" s="227" t="s">
        <v>74</v>
      </c>
    </row>
    <row r="137" spans="1:16" x14ac:dyDescent="0.2">
      <c r="A137" s="147"/>
      <c r="B137" s="152" t="s">
        <v>50</v>
      </c>
      <c r="C137" s="230" t="s">
        <v>135</v>
      </c>
      <c r="D137" s="230" t="s">
        <v>135</v>
      </c>
      <c r="E137" s="315" t="str">
        <f t="shared" si="23"/>
        <v>-</v>
      </c>
      <c r="F137" s="230" t="s">
        <v>74</v>
      </c>
      <c r="G137" s="230"/>
      <c r="H137" s="230" t="s">
        <v>74</v>
      </c>
      <c r="I137" s="10">
        <f t="shared" si="24"/>
        <v>0</v>
      </c>
      <c r="J137" s="10">
        <f t="shared" si="26"/>
        <v>9</v>
      </c>
      <c r="K137" s="17" t="e">
        <f t="shared" si="20"/>
        <v>#N/A</v>
      </c>
      <c r="L137" s="17" t="e">
        <f t="shared" si="21"/>
        <v>#N/A</v>
      </c>
      <c r="M137" s="17" t="e">
        <f t="shared" ca="1" si="22"/>
        <v>#N/A</v>
      </c>
      <c r="N137" s="227"/>
      <c r="O137" s="227"/>
      <c r="P137" s="227" t="s">
        <v>74</v>
      </c>
    </row>
    <row r="138" spans="1:16" x14ac:dyDescent="0.2">
      <c r="A138" s="147"/>
      <c r="B138" s="152" t="s">
        <v>50</v>
      </c>
      <c r="C138" s="230" t="s">
        <v>135</v>
      </c>
      <c r="D138" s="230" t="s">
        <v>135</v>
      </c>
      <c r="E138" s="315" t="str">
        <f t="shared" si="23"/>
        <v>-</v>
      </c>
      <c r="F138" s="230" t="s">
        <v>74</v>
      </c>
      <c r="G138" s="230"/>
      <c r="H138" s="230" t="s">
        <v>74</v>
      </c>
      <c r="I138" s="10">
        <f t="shared" si="24"/>
        <v>0</v>
      </c>
      <c r="J138" s="10">
        <f t="shared" si="26"/>
        <v>10</v>
      </c>
      <c r="K138" s="17" t="e">
        <f t="shared" si="20"/>
        <v>#N/A</v>
      </c>
      <c r="L138" s="17" t="e">
        <f t="shared" si="21"/>
        <v>#N/A</v>
      </c>
      <c r="M138" s="17" t="e">
        <f t="shared" ca="1" si="22"/>
        <v>#N/A</v>
      </c>
      <c r="N138" s="227"/>
      <c r="O138" s="227"/>
      <c r="P138" s="227" t="s">
        <v>74</v>
      </c>
    </row>
    <row r="139" spans="1:16" x14ac:dyDescent="0.2">
      <c r="A139" s="147"/>
      <c r="B139" s="152" t="s">
        <v>50</v>
      </c>
      <c r="C139" s="230" t="s">
        <v>135</v>
      </c>
      <c r="D139" s="230" t="s">
        <v>135</v>
      </c>
      <c r="E139" s="315" t="str">
        <f t="shared" si="23"/>
        <v>-</v>
      </c>
      <c r="F139" s="230" t="s">
        <v>74</v>
      </c>
      <c r="G139" s="230"/>
      <c r="H139" s="230" t="s">
        <v>74</v>
      </c>
      <c r="I139" s="10">
        <f t="shared" si="24"/>
        <v>0</v>
      </c>
      <c r="J139" s="10">
        <f t="shared" si="26"/>
        <v>11</v>
      </c>
      <c r="K139" s="17" t="e">
        <f t="shared" si="20"/>
        <v>#N/A</v>
      </c>
      <c r="L139" s="17" t="e">
        <f t="shared" si="21"/>
        <v>#N/A</v>
      </c>
      <c r="M139" s="17" t="e">
        <f t="shared" ca="1" si="22"/>
        <v>#N/A</v>
      </c>
      <c r="N139" s="227"/>
      <c r="O139" s="227"/>
      <c r="P139" s="227" t="s">
        <v>74</v>
      </c>
    </row>
    <row r="140" spans="1:16" x14ac:dyDescent="0.2">
      <c r="A140" s="147"/>
      <c r="B140" s="152" t="s">
        <v>50</v>
      </c>
      <c r="C140" s="230" t="s">
        <v>135</v>
      </c>
      <c r="D140" s="230" t="s">
        <v>135</v>
      </c>
      <c r="E140" s="315" t="str">
        <f t="shared" si="23"/>
        <v>-</v>
      </c>
      <c r="F140" s="230" t="s">
        <v>74</v>
      </c>
      <c r="G140" s="230"/>
      <c r="H140" s="230" t="s">
        <v>74</v>
      </c>
      <c r="I140" s="10">
        <f t="shared" si="24"/>
        <v>0</v>
      </c>
      <c r="J140" s="10">
        <f t="shared" si="26"/>
        <v>12</v>
      </c>
      <c r="K140" s="17" t="e">
        <f t="shared" si="20"/>
        <v>#N/A</v>
      </c>
      <c r="L140" s="17" t="e">
        <f t="shared" si="21"/>
        <v>#N/A</v>
      </c>
      <c r="M140" s="17" t="e">
        <f t="shared" ca="1" si="22"/>
        <v>#N/A</v>
      </c>
      <c r="N140" s="227"/>
      <c r="O140" s="227"/>
      <c r="P140" s="227" t="s">
        <v>74</v>
      </c>
    </row>
    <row r="141" spans="1:16" x14ac:dyDescent="0.2">
      <c r="A141" s="147"/>
      <c r="B141" s="152" t="s">
        <v>50</v>
      </c>
      <c r="C141" s="230" t="s">
        <v>135</v>
      </c>
      <c r="D141" s="230" t="s">
        <v>135</v>
      </c>
      <c r="E141" s="315" t="str">
        <f t="shared" si="23"/>
        <v>-</v>
      </c>
      <c r="F141" s="230" t="s">
        <v>74</v>
      </c>
      <c r="G141" s="230"/>
      <c r="H141" s="230" t="s">
        <v>74</v>
      </c>
      <c r="I141" s="10">
        <f t="shared" si="24"/>
        <v>0</v>
      </c>
      <c r="J141" s="10">
        <f t="shared" si="26"/>
        <v>13</v>
      </c>
      <c r="K141" s="17" t="e">
        <f t="shared" si="20"/>
        <v>#N/A</v>
      </c>
      <c r="L141" s="17" t="e">
        <f t="shared" si="21"/>
        <v>#N/A</v>
      </c>
      <c r="M141" s="17" t="e">
        <f t="shared" ca="1" si="22"/>
        <v>#N/A</v>
      </c>
      <c r="N141" s="227"/>
      <c r="O141" s="227"/>
      <c r="P141" s="227" t="s">
        <v>74</v>
      </c>
    </row>
    <row r="142" spans="1:16" x14ac:dyDescent="0.2">
      <c r="A142" s="147"/>
      <c r="B142" s="152" t="s">
        <v>50</v>
      </c>
      <c r="C142" s="230" t="s">
        <v>135</v>
      </c>
      <c r="D142" s="230" t="s">
        <v>135</v>
      </c>
      <c r="E142" s="315" t="str">
        <f t="shared" si="23"/>
        <v>-</v>
      </c>
      <c r="F142" s="230" t="s">
        <v>74</v>
      </c>
      <c r="G142" s="230"/>
      <c r="H142" s="230" t="s">
        <v>74</v>
      </c>
      <c r="I142" s="10">
        <f t="shared" si="24"/>
        <v>0</v>
      </c>
      <c r="J142" s="10">
        <f t="shared" si="26"/>
        <v>14</v>
      </c>
      <c r="K142" s="17" t="e">
        <f t="shared" si="20"/>
        <v>#N/A</v>
      </c>
      <c r="L142" s="17" t="e">
        <f t="shared" si="21"/>
        <v>#N/A</v>
      </c>
      <c r="M142" s="17" t="e">
        <f t="shared" ca="1" si="22"/>
        <v>#N/A</v>
      </c>
      <c r="N142" s="227"/>
      <c r="O142" s="227"/>
      <c r="P142" s="227" t="s">
        <v>74</v>
      </c>
    </row>
    <row r="143" spans="1:16" x14ac:dyDescent="0.2">
      <c r="A143" s="147"/>
      <c r="B143" s="152" t="s">
        <v>50</v>
      </c>
      <c r="C143" s="230" t="s">
        <v>135</v>
      </c>
      <c r="D143" s="230" t="s">
        <v>135</v>
      </c>
      <c r="E143" s="315" t="str">
        <f t="shared" si="23"/>
        <v>-</v>
      </c>
      <c r="F143" s="230" t="s">
        <v>74</v>
      </c>
      <c r="G143" s="230"/>
      <c r="H143" s="230" t="s">
        <v>74</v>
      </c>
      <c r="I143" s="10">
        <f t="shared" si="24"/>
        <v>0</v>
      </c>
      <c r="J143" s="10">
        <f t="shared" si="26"/>
        <v>15</v>
      </c>
      <c r="K143" s="17" t="e">
        <f t="shared" si="20"/>
        <v>#N/A</v>
      </c>
      <c r="L143" s="17" t="e">
        <f t="shared" si="21"/>
        <v>#N/A</v>
      </c>
      <c r="M143" s="17" t="e">
        <f t="shared" ca="1" si="22"/>
        <v>#N/A</v>
      </c>
      <c r="N143" s="227"/>
      <c r="O143" s="227"/>
      <c r="P143" s="227" t="s">
        <v>74</v>
      </c>
    </row>
    <row r="144" spans="1:16" x14ac:dyDescent="0.2">
      <c r="A144" s="147"/>
      <c r="B144" s="152" t="s">
        <v>50</v>
      </c>
      <c r="C144" s="230" t="s">
        <v>135</v>
      </c>
      <c r="D144" s="230" t="s">
        <v>135</v>
      </c>
      <c r="E144" s="315" t="str">
        <f t="shared" si="23"/>
        <v>-</v>
      </c>
      <c r="F144" s="230" t="s">
        <v>74</v>
      </c>
      <c r="G144" s="230"/>
      <c r="H144" s="230" t="s">
        <v>74</v>
      </c>
      <c r="I144" s="10">
        <f t="shared" si="24"/>
        <v>0</v>
      </c>
      <c r="J144" s="10">
        <f t="shared" si="26"/>
        <v>16</v>
      </c>
      <c r="K144" s="17" t="e">
        <f t="shared" si="20"/>
        <v>#N/A</v>
      </c>
      <c r="L144" s="17" t="e">
        <f t="shared" si="21"/>
        <v>#N/A</v>
      </c>
      <c r="M144" s="17" t="e">
        <f t="shared" ca="1" si="22"/>
        <v>#N/A</v>
      </c>
      <c r="N144" s="227"/>
      <c r="O144" s="227"/>
      <c r="P144" s="227" t="s">
        <v>74</v>
      </c>
    </row>
    <row r="145" spans="1:16" x14ac:dyDescent="0.2">
      <c r="A145" s="147"/>
      <c r="B145" s="152" t="s">
        <v>50</v>
      </c>
      <c r="C145" s="230" t="s">
        <v>135</v>
      </c>
      <c r="D145" s="230" t="s">
        <v>135</v>
      </c>
      <c r="E145" s="315" t="str">
        <f t="shared" si="23"/>
        <v>-</v>
      </c>
      <c r="F145" s="230" t="s">
        <v>74</v>
      </c>
      <c r="G145" s="230"/>
      <c r="H145" s="230" t="s">
        <v>74</v>
      </c>
      <c r="I145" s="10">
        <f t="shared" si="24"/>
        <v>0</v>
      </c>
      <c r="J145" s="10">
        <f t="shared" si="26"/>
        <v>17</v>
      </c>
      <c r="K145" s="17" t="e">
        <f t="shared" ref="K145:K160" si="27">VLOOKUP(H145,nodeDevicePinConfigTable,3+J145+(IF(B145="IN",0,1)*VLOOKUP(H145,nodeDevicePinConfigTable,2,TRUE)),TRUE)</f>
        <v>#N/A</v>
      </c>
      <c r="L145" s="17" t="e">
        <f t="shared" ref="L145:L160" si="28">VLOOKUP(H145,nodeJMRIPinConfigTable,3+J145+(IF(B145="IN",0,1)*VLOOKUP(H145,nodeJMRIPinConfigTable,2,TRUE)),TRUE)</f>
        <v>#N/A</v>
      </c>
      <c r="M145" s="17" t="e">
        <f t="shared" ref="M145:M160" ca="1" si="29">CONCATENATE(LEFT(L145,2),$D$5*1000+VALUE(RIGHT(L145,3)+I145))</f>
        <v>#N/A</v>
      </c>
      <c r="N145" s="227"/>
      <c r="O145" s="227"/>
      <c r="P145" s="227" t="s">
        <v>74</v>
      </c>
    </row>
    <row r="146" spans="1:16" x14ac:dyDescent="0.2">
      <c r="A146" s="147"/>
      <c r="B146" s="152" t="s">
        <v>50</v>
      </c>
      <c r="C146" s="230" t="s">
        <v>135</v>
      </c>
      <c r="D146" s="230" t="s">
        <v>135</v>
      </c>
      <c r="E146" s="315" t="str">
        <f t="shared" ref="E146:E160" si="30">IF(P146="-",P146,_xlfn.CONCAT(C146,":",P146))</f>
        <v>-</v>
      </c>
      <c r="F146" s="230" t="s">
        <v>74</v>
      </c>
      <c r="G146" s="230"/>
      <c r="H146" s="230" t="s">
        <v>74</v>
      </c>
      <c r="I146" s="10">
        <f t="shared" ref="I146:I160" si="31">IF(LEFT(H146,4)="BASE",0,IF(LEFT(H146,3)="IOX", VALUE(MID(H146,4,2))*VALUE(RIGHT(H146,1)),0))</f>
        <v>0</v>
      </c>
      <c r="J146" s="10">
        <f t="shared" si="26"/>
        <v>18</v>
      </c>
      <c r="K146" s="17" t="e">
        <f t="shared" si="27"/>
        <v>#N/A</v>
      </c>
      <c r="L146" s="17" t="e">
        <f t="shared" si="28"/>
        <v>#N/A</v>
      </c>
      <c r="M146" s="17" t="e">
        <f t="shared" ca="1" si="29"/>
        <v>#N/A</v>
      </c>
      <c r="N146" s="227"/>
      <c r="O146" s="227"/>
      <c r="P146" s="227" t="s">
        <v>74</v>
      </c>
    </row>
    <row r="147" spans="1:16" x14ac:dyDescent="0.2">
      <c r="A147" s="147"/>
      <c r="B147" s="152" t="s">
        <v>50</v>
      </c>
      <c r="C147" s="230" t="s">
        <v>135</v>
      </c>
      <c r="D147" s="230" t="s">
        <v>135</v>
      </c>
      <c r="E147" s="315" t="str">
        <f t="shared" si="30"/>
        <v>-</v>
      </c>
      <c r="F147" s="230" t="s">
        <v>74</v>
      </c>
      <c r="G147" s="230"/>
      <c r="H147" s="230" t="s">
        <v>74</v>
      </c>
      <c r="I147" s="10">
        <f t="shared" si="31"/>
        <v>0</v>
      </c>
      <c r="J147" s="10">
        <f t="shared" si="26"/>
        <v>19</v>
      </c>
      <c r="K147" s="17" t="e">
        <f t="shared" si="27"/>
        <v>#N/A</v>
      </c>
      <c r="L147" s="17" t="e">
        <f t="shared" si="28"/>
        <v>#N/A</v>
      </c>
      <c r="M147" s="17" t="e">
        <f t="shared" ca="1" si="29"/>
        <v>#N/A</v>
      </c>
      <c r="N147" s="227"/>
      <c r="O147" s="227"/>
      <c r="P147" s="227" t="s">
        <v>74</v>
      </c>
    </row>
    <row r="148" spans="1:16" x14ac:dyDescent="0.2">
      <c r="A148" s="147"/>
      <c r="B148" s="152" t="s">
        <v>50</v>
      </c>
      <c r="C148" s="230" t="s">
        <v>135</v>
      </c>
      <c r="D148" s="230" t="s">
        <v>135</v>
      </c>
      <c r="E148" s="315" t="str">
        <f t="shared" si="30"/>
        <v>-</v>
      </c>
      <c r="F148" s="230" t="s">
        <v>74</v>
      </c>
      <c r="G148" s="230"/>
      <c r="H148" s="230" t="s">
        <v>74</v>
      </c>
      <c r="I148" s="10">
        <f t="shared" si="31"/>
        <v>0</v>
      </c>
      <c r="J148" s="10">
        <f t="shared" si="26"/>
        <v>20</v>
      </c>
      <c r="K148" s="17" t="e">
        <f t="shared" si="27"/>
        <v>#N/A</v>
      </c>
      <c r="L148" s="17" t="e">
        <f t="shared" si="28"/>
        <v>#N/A</v>
      </c>
      <c r="M148" s="17" t="e">
        <f t="shared" ca="1" si="29"/>
        <v>#N/A</v>
      </c>
      <c r="N148" s="227"/>
      <c r="O148" s="227"/>
      <c r="P148" s="227" t="s">
        <v>74</v>
      </c>
    </row>
    <row r="149" spans="1:16" x14ac:dyDescent="0.2">
      <c r="A149" s="147"/>
      <c r="B149" s="152" t="s">
        <v>50</v>
      </c>
      <c r="C149" s="230" t="s">
        <v>135</v>
      </c>
      <c r="D149" s="230" t="s">
        <v>135</v>
      </c>
      <c r="E149" s="315" t="str">
        <f t="shared" si="30"/>
        <v>-</v>
      </c>
      <c r="F149" s="230" t="s">
        <v>74</v>
      </c>
      <c r="G149" s="230"/>
      <c r="H149" s="230" t="s">
        <v>74</v>
      </c>
      <c r="I149" s="10">
        <f t="shared" si="31"/>
        <v>0</v>
      </c>
      <c r="J149" s="10">
        <f t="shared" si="26"/>
        <v>21</v>
      </c>
      <c r="K149" s="17" t="e">
        <f t="shared" si="27"/>
        <v>#N/A</v>
      </c>
      <c r="L149" s="17" t="e">
        <f t="shared" si="28"/>
        <v>#N/A</v>
      </c>
      <c r="M149" s="17" t="e">
        <f t="shared" ca="1" si="29"/>
        <v>#N/A</v>
      </c>
      <c r="N149" s="227"/>
      <c r="O149" s="227"/>
      <c r="P149" s="227" t="s">
        <v>74</v>
      </c>
    </row>
    <row r="150" spans="1:16" x14ac:dyDescent="0.2">
      <c r="A150" s="147"/>
      <c r="B150" s="152" t="s">
        <v>50</v>
      </c>
      <c r="C150" s="230" t="s">
        <v>135</v>
      </c>
      <c r="D150" s="230" t="s">
        <v>135</v>
      </c>
      <c r="E150" s="315" t="str">
        <f t="shared" si="30"/>
        <v>-</v>
      </c>
      <c r="F150" s="230" t="s">
        <v>74</v>
      </c>
      <c r="G150" s="230"/>
      <c r="H150" s="230" t="s">
        <v>74</v>
      </c>
      <c r="I150" s="10">
        <f t="shared" si="31"/>
        <v>0</v>
      </c>
      <c r="J150" s="10">
        <f t="shared" si="26"/>
        <v>22</v>
      </c>
      <c r="K150" s="17" t="e">
        <f t="shared" si="27"/>
        <v>#N/A</v>
      </c>
      <c r="L150" s="17" t="e">
        <f t="shared" si="28"/>
        <v>#N/A</v>
      </c>
      <c r="M150" s="17" t="e">
        <f t="shared" ca="1" si="29"/>
        <v>#N/A</v>
      </c>
      <c r="N150" s="227"/>
      <c r="O150" s="227"/>
      <c r="P150" s="227" t="s">
        <v>74</v>
      </c>
    </row>
    <row r="151" spans="1:16" x14ac:dyDescent="0.2">
      <c r="A151" s="147"/>
      <c r="B151" s="152" t="s">
        <v>50</v>
      </c>
      <c r="C151" s="230" t="s">
        <v>135</v>
      </c>
      <c r="D151" s="230" t="s">
        <v>135</v>
      </c>
      <c r="E151" s="315" t="str">
        <f t="shared" si="30"/>
        <v>-</v>
      </c>
      <c r="F151" s="230" t="s">
        <v>74</v>
      </c>
      <c r="G151" s="230"/>
      <c r="H151" s="230" t="s">
        <v>74</v>
      </c>
      <c r="I151" s="10">
        <f t="shared" si="31"/>
        <v>0</v>
      </c>
      <c r="J151" s="10">
        <f t="shared" si="26"/>
        <v>23</v>
      </c>
      <c r="K151" s="17" t="e">
        <f t="shared" si="27"/>
        <v>#N/A</v>
      </c>
      <c r="L151" s="17" t="e">
        <f t="shared" si="28"/>
        <v>#N/A</v>
      </c>
      <c r="M151" s="17" t="e">
        <f t="shared" ca="1" si="29"/>
        <v>#N/A</v>
      </c>
      <c r="N151" s="227"/>
      <c r="O151" s="227"/>
      <c r="P151" s="227" t="s">
        <v>74</v>
      </c>
    </row>
    <row r="152" spans="1:16" x14ac:dyDescent="0.2">
      <c r="A152" s="147"/>
      <c r="B152" s="152" t="s">
        <v>50</v>
      </c>
      <c r="C152" s="230" t="s">
        <v>135</v>
      </c>
      <c r="D152" s="230" t="s">
        <v>135</v>
      </c>
      <c r="E152" s="315" t="str">
        <f t="shared" si="30"/>
        <v>-</v>
      </c>
      <c r="F152" s="230" t="s">
        <v>74</v>
      </c>
      <c r="G152" s="230"/>
      <c r="H152" s="230" t="s">
        <v>74</v>
      </c>
      <c r="I152" s="10">
        <f t="shared" si="31"/>
        <v>0</v>
      </c>
      <c r="J152" s="10">
        <f t="shared" si="26"/>
        <v>24</v>
      </c>
      <c r="K152" s="17" t="e">
        <f t="shared" si="27"/>
        <v>#N/A</v>
      </c>
      <c r="L152" s="17" t="e">
        <f t="shared" si="28"/>
        <v>#N/A</v>
      </c>
      <c r="M152" s="17" t="e">
        <f t="shared" ca="1" si="29"/>
        <v>#N/A</v>
      </c>
      <c r="N152" s="227"/>
      <c r="O152" s="227"/>
      <c r="P152" s="227" t="s">
        <v>74</v>
      </c>
    </row>
    <row r="153" spans="1:16" x14ac:dyDescent="0.2">
      <c r="A153" s="147"/>
      <c r="B153" s="152" t="s">
        <v>50</v>
      </c>
      <c r="C153" s="230" t="s">
        <v>135</v>
      </c>
      <c r="D153" s="230" t="s">
        <v>135</v>
      </c>
      <c r="E153" s="315" t="str">
        <f t="shared" si="30"/>
        <v>-</v>
      </c>
      <c r="F153" s="230" t="s">
        <v>74</v>
      </c>
      <c r="G153" s="230"/>
      <c r="H153" s="230" t="s">
        <v>74</v>
      </c>
      <c r="I153" s="10">
        <f t="shared" si="31"/>
        <v>0</v>
      </c>
      <c r="J153" s="10">
        <f t="shared" si="26"/>
        <v>25</v>
      </c>
      <c r="K153" s="17" t="e">
        <f t="shared" si="27"/>
        <v>#N/A</v>
      </c>
      <c r="L153" s="17" t="e">
        <f t="shared" si="28"/>
        <v>#N/A</v>
      </c>
      <c r="M153" s="17" t="e">
        <f t="shared" ca="1" si="29"/>
        <v>#N/A</v>
      </c>
      <c r="N153" s="227"/>
      <c r="O153" s="227"/>
      <c r="P153" s="227" t="s">
        <v>74</v>
      </c>
    </row>
    <row r="154" spans="1:16" x14ac:dyDescent="0.2">
      <c r="A154" s="147"/>
      <c r="B154" s="152" t="s">
        <v>50</v>
      </c>
      <c r="C154" s="230" t="s">
        <v>135</v>
      </c>
      <c r="D154" s="230" t="s">
        <v>135</v>
      </c>
      <c r="E154" s="315" t="str">
        <f t="shared" si="30"/>
        <v>-</v>
      </c>
      <c r="F154" s="230" t="s">
        <v>74</v>
      </c>
      <c r="G154" s="230"/>
      <c r="H154" s="230" t="s">
        <v>74</v>
      </c>
      <c r="I154" s="10">
        <f t="shared" si="31"/>
        <v>0</v>
      </c>
      <c r="J154" s="10">
        <f t="shared" si="26"/>
        <v>26</v>
      </c>
      <c r="K154" s="17" t="e">
        <f t="shared" si="27"/>
        <v>#N/A</v>
      </c>
      <c r="L154" s="17" t="e">
        <f t="shared" si="28"/>
        <v>#N/A</v>
      </c>
      <c r="M154" s="17" t="e">
        <f t="shared" ca="1" si="29"/>
        <v>#N/A</v>
      </c>
      <c r="N154" s="227"/>
      <c r="O154" s="227"/>
      <c r="P154" s="227" t="s">
        <v>74</v>
      </c>
    </row>
    <row r="155" spans="1:16" x14ac:dyDescent="0.2">
      <c r="A155" s="147"/>
      <c r="B155" s="152" t="s">
        <v>50</v>
      </c>
      <c r="C155" s="230" t="s">
        <v>135</v>
      </c>
      <c r="D155" s="230" t="s">
        <v>135</v>
      </c>
      <c r="E155" s="315" t="str">
        <f t="shared" si="30"/>
        <v>-</v>
      </c>
      <c r="F155" s="230" t="s">
        <v>74</v>
      </c>
      <c r="G155" s="230"/>
      <c r="H155" s="230" t="s">
        <v>74</v>
      </c>
      <c r="I155" s="10">
        <f t="shared" si="31"/>
        <v>0</v>
      </c>
      <c r="J155" s="10">
        <f t="shared" si="26"/>
        <v>27</v>
      </c>
      <c r="K155" s="17" t="e">
        <f t="shared" si="27"/>
        <v>#N/A</v>
      </c>
      <c r="L155" s="17" t="e">
        <f t="shared" si="28"/>
        <v>#N/A</v>
      </c>
      <c r="M155" s="17" t="e">
        <f t="shared" ca="1" si="29"/>
        <v>#N/A</v>
      </c>
      <c r="N155" s="227"/>
      <c r="O155" s="227"/>
      <c r="P155" s="227" t="s">
        <v>74</v>
      </c>
    </row>
    <row r="156" spans="1:16" x14ac:dyDescent="0.2">
      <c r="A156" s="147"/>
      <c r="B156" s="152" t="s">
        <v>50</v>
      </c>
      <c r="C156" s="230" t="s">
        <v>135</v>
      </c>
      <c r="D156" s="230" t="s">
        <v>135</v>
      </c>
      <c r="E156" s="315" t="str">
        <f t="shared" si="30"/>
        <v>-</v>
      </c>
      <c r="F156" s="230" t="s">
        <v>74</v>
      </c>
      <c r="G156" s="230"/>
      <c r="H156" s="230" t="s">
        <v>74</v>
      </c>
      <c r="I156" s="10">
        <f t="shared" si="31"/>
        <v>0</v>
      </c>
      <c r="J156" s="10">
        <f t="shared" si="26"/>
        <v>28</v>
      </c>
      <c r="K156" s="17" t="e">
        <f t="shared" si="27"/>
        <v>#N/A</v>
      </c>
      <c r="L156" s="17" t="e">
        <f t="shared" si="28"/>
        <v>#N/A</v>
      </c>
      <c r="M156" s="17" t="e">
        <f t="shared" ca="1" si="29"/>
        <v>#N/A</v>
      </c>
      <c r="N156" s="227"/>
      <c r="O156" s="227"/>
      <c r="P156" s="227" t="s">
        <v>74</v>
      </c>
    </row>
    <row r="157" spans="1:16" x14ac:dyDescent="0.2">
      <c r="A157" s="147"/>
      <c r="B157" s="152" t="s">
        <v>50</v>
      </c>
      <c r="C157" s="230" t="s">
        <v>135</v>
      </c>
      <c r="D157" s="230" t="s">
        <v>135</v>
      </c>
      <c r="E157" s="315" t="str">
        <f t="shared" si="30"/>
        <v>-</v>
      </c>
      <c r="F157" s="230" t="s">
        <v>74</v>
      </c>
      <c r="G157" s="230"/>
      <c r="H157" s="230" t="s">
        <v>74</v>
      </c>
      <c r="I157" s="10">
        <f t="shared" si="31"/>
        <v>0</v>
      </c>
      <c r="J157" s="10">
        <f t="shared" si="26"/>
        <v>29</v>
      </c>
      <c r="K157" s="17" t="e">
        <f t="shared" si="27"/>
        <v>#N/A</v>
      </c>
      <c r="L157" s="17" t="e">
        <f t="shared" si="28"/>
        <v>#N/A</v>
      </c>
      <c r="M157" s="17" t="e">
        <f t="shared" ca="1" si="29"/>
        <v>#N/A</v>
      </c>
      <c r="N157" s="227"/>
      <c r="O157" s="227"/>
      <c r="P157" s="227" t="s">
        <v>74</v>
      </c>
    </row>
    <row r="158" spans="1:16" x14ac:dyDescent="0.2">
      <c r="A158" s="147"/>
      <c r="B158" s="152" t="s">
        <v>50</v>
      </c>
      <c r="C158" s="230" t="s">
        <v>135</v>
      </c>
      <c r="D158" s="230" t="s">
        <v>135</v>
      </c>
      <c r="E158" s="315" t="str">
        <f t="shared" si="30"/>
        <v>-</v>
      </c>
      <c r="F158" s="230" t="s">
        <v>74</v>
      </c>
      <c r="G158" s="230"/>
      <c r="H158" s="230" t="s">
        <v>74</v>
      </c>
      <c r="I158" s="10">
        <f t="shared" si="31"/>
        <v>0</v>
      </c>
      <c r="J158" s="10">
        <f t="shared" si="26"/>
        <v>30</v>
      </c>
      <c r="K158" s="17" t="e">
        <f t="shared" si="27"/>
        <v>#N/A</v>
      </c>
      <c r="L158" s="17" t="e">
        <f t="shared" si="28"/>
        <v>#N/A</v>
      </c>
      <c r="M158" s="17" t="e">
        <f t="shared" ca="1" si="29"/>
        <v>#N/A</v>
      </c>
      <c r="N158" s="227"/>
      <c r="O158" s="227"/>
      <c r="P158" s="227" t="s">
        <v>74</v>
      </c>
    </row>
    <row r="159" spans="1:16" x14ac:dyDescent="0.2">
      <c r="A159" s="147"/>
      <c r="B159" s="152" t="s">
        <v>50</v>
      </c>
      <c r="C159" s="230" t="s">
        <v>135</v>
      </c>
      <c r="D159" s="230" t="s">
        <v>135</v>
      </c>
      <c r="E159" s="315" t="str">
        <f t="shared" si="30"/>
        <v>-</v>
      </c>
      <c r="F159" s="230" t="s">
        <v>74</v>
      </c>
      <c r="G159" s="230"/>
      <c r="H159" s="230" t="s">
        <v>74</v>
      </c>
      <c r="I159" s="10">
        <f t="shared" si="31"/>
        <v>0</v>
      </c>
      <c r="J159" s="10">
        <f t="shared" si="26"/>
        <v>31</v>
      </c>
      <c r="K159" s="17" t="e">
        <f t="shared" si="27"/>
        <v>#N/A</v>
      </c>
      <c r="L159" s="17" t="e">
        <f t="shared" si="28"/>
        <v>#N/A</v>
      </c>
      <c r="M159" s="17" t="e">
        <f t="shared" ca="1" si="29"/>
        <v>#N/A</v>
      </c>
      <c r="N159" s="227"/>
      <c r="O159" s="227"/>
      <c r="P159" s="227" t="s">
        <v>74</v>
      </c>
    </row>
    <row r="160" spans="1:16" ht="16" thickBot="1" x14ac:dyDescent="0.25">
      <c r="A160" s="148"/>
      <c r="B160" s="136" t="s">
        <v>50</v>
      </c>
      <c r="C160" s="137" t="s">
        <v>135</v>
      </c>
      <c r="D160" s="137" t="s">
        <v>135</v>
      </c>
      <c r="E160" s="317" t="str">
        <f t="shared" si="30"/>
        <v>-</v>
      </c>
      <c r="F160" s="137" t="s">
        <v>74</v>
      </c>
      <c r="G160" s="137"/>
      <c r="H160" s="137" t="s">
        <v>74</v>
      </c>
      <c r="I160" s="12">
        <f t="shared" si="31"/>
        <v>0</v>
      </c>
      <c r="J160" s="12">
        <f t="shared" si="26"/>
        <v>32</v>
      </c>
      <c r="K160" s="18" t="e">
        <f t="shared" si="27"/>
        <v>#N/A</v>
      </c>
      <c r="L160" s="18" t="e">
        <f t="shared" si="28"/>
        <v>#N/A</v>
      </c>
      <c r="M160" s="18" t="e">
        <f t="shared" ca="1" si="29"/>
        <v>#N/A</v>
      </c>
      <c r="N160" s="228"/>
      <c r="O160" s="228"/>
      <c r="P160" s="228" t="s">
        <v>74</v>
      </c>
    </row>
  </sheetData>
  <mergeCells count="15">
    <mergeCell ref="B15:P15"/>
    <mergeCell ref="O3:P5"/>
    <mergeCell ref="B2:P2"/>
    <mergeCell ref="C7:C14"/>
    <mergeCell ref="Q2:X2"/>
    <mergeCell ref="B3:D3"/>
    <mergeCell ref="E3:F5"/>
    <mergeCell ref="H3:K3"/>
    <mergeCell ref="L3:N3"/>
    <mergeCell ref="B4:C4"/>
    <mergeCell ref="H4:K4"/>
    <mergeCell ref="L4:N4"/>
    <mergeCell ref="B5:C5"/>
    <mergeCell ref="H5:K5"/>
    <mergeCell ref="L5:N5"/>
  </mergeCells>
  <dataValidations count="5">
    <dataValidation type="list" allowBlank="1" showInputMessage="1" showErrorMessage="1" sqref="C17:C160" xr:uid="{F16C749C-4292-9C45-A213-D93C014192C3}">
      <formula1>VALID_MODULES</formula1>
    </dataValidation>
    <dataValidation type="list" allowBlank="1" showInputMessage="1" showErrorMessage="1" sqref="H17:H160" xr:uid="{48550236-8A9C-4940-919B-5C0C8E5D053D}">
      <formula1>Module4Nodes</formula1>
    </dataValidation>
    <dataValidation type="list" allowBlank="1" showInputMessage="1" showErrorMessage="1" sqref="F17:F160" xr:uid="{8C65D228-B661-F043-B402-1C6F50892627}">
      <formula1>DCC_Decoders</formula1>
    </dataValidation>
    <dataValidation type="list" allowBlank="1" showInputMessage="1" showErrorMessage="1" sqref="D5" xr:uid="{F50B9DA0-3860-6646-963F-76B63BD80E45}">
      <formula1>cpNode_Addresses</formula1>
    </dataValidation>
    <dataValidation type="list" allowBlank="1" showInputMessage="1" showErrorMessage="1" sqref="G17:G160" xr:uid="{E5482F5A-81B1-EA41-8A6A-E26B163C93EE}">
      <formula1>JMRI_STATE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0FE99C-A837-7146-B40C-FF0338D8DF95}">
          <x14:formula1>
            <xm:f>OFFSET('System Parameters'!$J$1, MATCH(B17,'System Parameters'!$J:$J,0)-1,1,COUNTIF('System Parameters'!$J:$J,B17),1)</xm:f>
          </x14:formula1>
          <xm:sqref>D17:D160</xm:sqref>
        </x14:dataValidation>
        <x14:dataValidation type="list" allowBlank="1" showInputMessage="1" showErrorMessage="1" xr:uid="{A05D91FF-2217-B441-A631-A94882B6C8D4}">
          <x14:formula1>
            <xm:f>OFFSET('System Parameters'!$N$1, MATCH(A6,'System Parameters'!$N:$N,0)-1,1,COUNTIF('System Parameters'!$N:$N,A6),1)</xm:f>
          </x14:formula1>
          <xm:sqref>D6:D14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0661-ED58-7941-A315-A96939D7E9C9}">
  <dimension ref="A1:BK160"/>
  <sheetViews>
    <sheetView topLeftCell="B2" zoomScale="170" zoomScaleNormal="170" workbookViewId="0">
      <selection activeCell="G20" sqref="G20"/>
    </sheetView>
  </sheetViews>
  <sheetFormatPr baseColWidth="10" defaultColWidth="8.83203125" defaultRowHeight="15" x14ac:dyDescent="0.2"/>
  <cols>
    <col min="1" max="1" width="2.83203125" style="1" hidden="1" customWidth="1"/>
    <col min="2" max="2" width="10.83203125" style="1" customWidth="1"/>
    <col min="3" max="3" width="24" style="1" customWidth="1"/>
    <col min="4" max="4" width="22.6640625" style="1" customWidth="1"/>
    <col min="5" max="5" width="37.33203125" style="257" customWidth="1"/>
    <col min="6" max="7" width="8.33203125" style="1" customWidth="1"/>
    <col min="8" max="8" width="19.83203125" style="257" customWidth="1"/>
    <col min="9" max="9" width="8.33203125" style="257" customWidth="1"/>
    <col min="10" max="10" width="7.1640625" style="257" customWidth="1"/>
    <col min="11" max="11" width="8.83203125" style="257"/>
    <col min="12" max="12" width="10.5" style="257" customWidth="1"/>
    <col min="13" max="13" width="14.6640625" style="257" customWidth="1"/>
    <col min="14" max="14" width="31" style="1" customWidth="1"/>
    <col min="15" max="15" width="19.5" style="1" customWidth="1"/>
    <col min="16" max="16" width="22.6640625" style="1" customWidth="1"/>
    <col min="17" max="17" width="13.5" style="1" hidden="1" customWidth="1"/>
    <col min="18" max="21" width="0" style="1" hidden="1" customWidth="1"/>
    <col min="22" max="22" width="14.6640625" style="1" hidden="1" customWidth="1"/>
    <col min="23" max="23" width="10.33203125" style="1" hidden="1" customWidth="1"/>
    <col min="24" max="24" width="13" style="1" hidden="1" customWidth="1"/>
    <col min="25" max="16384" width="8.83203125" style="1"/>
  </cols>
  <sheetData>
    <row r="1" spans="1:24" ht="17" hidden="1" customHeight="1" x14ac:dyDescent="0.2"/>
    <row r="2" spans="1:24" ht="27" customHeight="1" thickBot="1" x14ac:dyDescent="0.25">
      <c r="B2" s="413" t="s">
        <v>202</v>
      </c>
      <c r="C2" s="414"/>
      <c r="D2" s="414"/>
      <c r="E2" s="414"/>
      <c r="F2" s="414"/>
      <c r="G2" s="414"/>
      <c r="H2" s="414"/>
      <c r="I2" s="414"/>
      <c r="J2" s="414"/>
      <c r="K2" s="414"/>
      <c r="L2" s="414"/>
      <c r="M2" s="414"/>
      <c r="N2" s="414"/>
      <c r="O2" s="414"/>
      <c r="P2" s="415"/>
      <c r="Q2" s="422" t="s">
        <v>203</v>
      </c>
      <c r="R2" s="423"/>
      <c r="S2" s="423"/>
      <c r="T2" s="423"/>
      <c r="U2" s="423"/>
      <c r="V2" s="423"/>
      <c r="W2" s="423"/>
      <c r="X2" s="424"/>
    </row>
    <row r="3" spans="1:24" ht="22" customHeight="1" thickBot="1" x14ac:dyDescent="0.25">
      <c r="B3" s="442" t="s">
        <v>204</v>
      </c>
      <c r="C3" s="443"/>
      <c r="D3" s="444"/>
      <c r="E3" s="434" t="s">
        <v>205</v>
      </c>
      <c r="F3" s="435"/>
      <c r="G3" s="329"/>
      <c r="H3" s="425" t="str">
        <f>"const long CMRINET_SPEED =  " &amp; CMRINET_BAUD_RATE &amp; ";"</f>
        <v>const long CMRINET_SPEED =  115200;</v>
      </c>
      <c r="I3" s="426"/>
      <c r="J3" s="426"/>
      <c r="K3" s="426"/>
      <c r="L3" s="438"/>
      <c r="M3" s="438"/>
      <c r="N3" s="439"/>
      <c r="O3" s="416" t="s">
        <v>495</v>
      </c>
      <c r="P3" s="417"/>
      <c r="Q3" s="270" t="str">
        <f t="shared" ref="Q3:Q10" si="0">IF(D7="-",D7,VLOOKUP(D7,IOXSketchTable,2,TRUE))</f>
        <v>ADDR 20-21</v>
      </c>
      <c r="R3" s="29" t="str">
        <f t="shared" ref="R3:R10" si="1">IF(D7="-",D7,VLOOKUP(D7,IOXSketchTable,3,TRUE))</f>
        <v>0, 0, 0, 0</v>
      </c>
      <c r="S3" s="29" t="b">
        <f>IF(Q3&lt;&gt;"-", TRUE, FALSE)</f>
        <v>1</v>
      </c>
      <c r="T3" s="29">
        <v>0</v>
      </c>
      <c r="U3" s="29" t="b">
        <f t="shared" ref="U3:U10" si="2">IF(D7&lt;&gt;"-",IF(LEFT(D6,5)="IOX32",FALSE,IF(VALUE(RIGHT(D7,1))&lt;&gt;T3,FALSE, TRUE)),TRUE)</f>
        <v>1</v>
      </c>
      <c r="V3" s="29" t="str">
        <f>"ADDR 20-21"</f>
        <v>ADDR 20-21</v>
      </c>
      <c r="W3" s="29" t="str">
        <f>"ADDR 20"</f>
        <v>ADDR 20</v>
      </c>
      <c r="X3" s="104" t="str">
        <f>IF(Q3=V3,LEFT(R3,4),IF(Q3=W3,R3,"-1, -1"))</f>
        <v>0, 0</v>
      </c>
    </row>
    <row r="4" spans="1:24" ht="22" customHeight="1" thickBot="1" x14ac:dyDescent="0.25">
      <c r="B4" s="445" t="s">
        <v>206</v>
      </c>
      <c r="C4" s="446"/>
      <c r="D4" s="56" t="str">
        <f ca="1">RIGHT(CELL("filename",A1),LEN(CELL("filename",A1))-FIND("]",CELL("filename",A1)))</f>
        <v>Node 5</v>
      </c>
      <c r="E4" s="434"/>
      <c r="F4" s="435"/>
      <c r="G4" s="329"/>
      <c r="H4" s="427" t="str">
        <f ca="1">"int nodeID = " &amp; $D$5 &amp; ";"</f>
        <v>int nodeID = 5;</v>
      </c>
      <c r="I4" s="428"/>
      <c r="J4" s="428"/>
      <c r="K4" s="428"/>
      <c r="L4" s="431" t="str">
        <f>IF($S$11,"#DEFINE USE_IOX","//#DEFINE USE_IOX")</f>
        <v>#DEFINE USE_IOX</v>
      </c>
      <c r="M4" s="431"/>
      <c r="N4" s="432"/>
      <c r="O4" s="418"/>
      <c r="P4" s="419"/>
      <c r="Q4" s="98" t="str">
        <f t="shared" si="0"/>
        <v>-</v>
      </c>
      <c r="R4" s="10" t="str">
        <f t="shared" si="1"/>
        <v>-</v>
      </c>
      <c r="S4" s="29" t="b">
        <f t="shared" ref="S4:S10" si="3">IF(Q4&lt;&gt;"-", TRUE, FALSE)</f>
        <v>0</v>
      </c>
      <c r="T4" s="10">
        <v>1</v>
      </c>
      <c r="U4" s="10" t="b">
        <f t="shared" si="2"/>
        <v>1</v>
      </c>
      <c r="V4" s="10"/>
      <c r="W4" s="10" t="str">
        <f>"ADDR 21"</f>
        <v>ADDR 21</v>
      </c>
      <c r="X4" s="92" t="str">
        <f>IF(Q3=V3,RIGHT(R3,4),IF(Q4=W4,R4,"-1, -1"))</f>
        <v>0, 0</v>
      </c>
    </row>
    <row r="5" spans="1:24" ht="22" customHeight="1" thickBot="1" x14ac:dyDescent="0.25">
      <c r="A5" s="1" t="s">
        <v>37</v>
      </c>
      <c r="B5" s="440" t="s">
        <v>207</v>
      </c>
      <c r="C5" s="441"/>
      <c r="D5" s="67">
        <f ca="1">VLOOKUP(D4, NODE_TABLE,2)</f>
        <v>5</v>
      </c>
      <c r="E5" s="436"/>
      <c r="F5" s="437"/>
      <c r="G5" s="328"/>
      <c r="H5" s="429" t="str">
        <f>"#DEFINE "&amp;$D$6</f>
        <v>#DEFINE BASE_NODE_16IN</v>
      </c>
      <c r="I5" s="430"/>
      <c r="J5" s="430"/>
      <c r="K5" s="430"/>
      <c r="L5" s="430" t="str">
        <f>"IOX_ioMap[max_IOX] = { "&amp; $X$3 &amp; ", " &amp; $X$4 &amp; ", " &amp; $X$5 &amp; ", " &amp; $X$6 &amp; ", " &amp; $X$7 &amp; ", " &amp; $X$8 &amp; ", " &amp; $X$9 &amp; ", " &amp; $X$10 &amp; " };"</f>
        <v>IOX_ioMap[max_IOX] = { 0, 0, 0, 0, -1, -1, -1, -1, -1, -1, -1, -1, -1, -1, -1, -1 };</v>
      </c>
      <c r="M5" s="430"/>
      <c r="N5" s="433"/>
      <c r="O5" s="420"/>
      <c r="P5" s="421"/>
      <c r="Q5" s="98" t="str">
        <f t="shared" si="0"/>
        <v>-</v>
      </c>
      <c r="R5" s="10" t="str">
        <f t="shared" si="1"/>
        <v>-</v>
      </c>
      <c r="S5" s="29" t="b">
        <f t="shared" si="3"/>
        <v>0</v>
      </c>
      <c r="T5" s="10">
        <v>2</v>
      </c>
      <c r="U5" s="10" t="b">
        <f t="shared" si="2"/>
        <v>1</v>
      </c>
      <c r="V5" s="10" t="str">
        <f>"ADDR 22-23"</f>
        <v>ADDR 22-23</v>
      </c>
      <c r="W5" s="10" t="str">
        <f>"ADDR 22"</f>
        <v>ADDR 22</v>
      </c>
      <c r="X5" s="92" t="str">
        <f>IF(Q5=V5,LEFT(R5,4),IF(Q5=W5,R5,"-1, -1"))</f>
        <v>-1, -1</v>
      </c>
    </row>
    <row r="6" spans="1:24" ht="22" customHeight="1" x14ac:dyDescent="0.2">
      <c r="A6" s="1" t="s">
        <v>12</v>
      </c>
      <c r="B6" s="105" t="str">
        <f>"IOX ADDR"</f>
        <v>IOX ADDR</v>
      </c>
      <c r="C6" s="80" t="s">
        <v>208</v>
      </c>
      <c r="D6" s="69" t="s">
        <v>13</v>
      </c>
      <c r="E6" s="74" t="s">
        <v>209</v>
      </c>
      <c r="F6" s="88">
        <f t="shared" ref="F6:F14" si="4">IF(LEFT(D6,4)="BASE",16,IF(LEFT(D6,3)="IOX",VALUE(MID(D6,4,2)),0))</f>
        <v>16</v>
      </c>
      <c r="G6" s="330"/>
      <c r="H6" s="109" t="s">
        <v>210</v>
      </c>
      <c r="I6" s="110" t="s">
        <v>76</v>
      </c>
      <c r="J6" s="110" t="s">
        <v>77</v>
      </c>
      <c r="K6" s="110" t="s">
        <v>78</v>
      </c>
      <c r="L6" s="111" t="s">
        <v>38</v>
      </c>
      <c r="M6" s="112" t="s">
        <v>211</v>
      </c>
      <c r="N6" s="103" t="str">
        <f>IF(U11=FALSE,"IOX Addressing Error",IF(OR(M7&gt;144,M11&lt;0),"Too Many IOX Modules","Looks Good"))</f>
        <v>Looks Good</v>
      </c>
      <c r="O6" s="280" t="s">
        <v>707</v>
      </c>
      <c r="P6" s="282">
        <f t="shared" ref="P6:P12" si="5">COUNTIF($C$17:$C$160,$O6)</f>
        <v>0</v>
      </c>
      <c r="Q6" s="98" t="str">
        <f t="shared" si="0"/>
        <v>-</v>
      </c>
      <c r="R6" s="10" t="str">
        <f t="shared" si="1"/>
        <v>-</v>
      </c>
      <c r="S6" s="29" t="b">
        <f t="shared" si="3"/>
        <v>0</v>
      </c>
      <c r="T6" s="10">
        <v>3</v>
      </c>
      <c r="U6" s="10" t="b">
        <f t="shared" si="2"/>
        <v>1</v>
      </c>
      <c r="V6" s="10"/>
      <c r="W6" s="10" t="str">
        <f>"ADDR 23"</f>
        <v>ADDR 23</v>
      </c>
      <c r="X6" s="92" t="str">
        <f>IF(Q5=V5,RIGHT(R5,4),IF(Q6=W6,R6,"-1, -1"))</f>
        <v>-1, -1</v>
      </c>
    </row>
    <row r="7" spans="1:24" ht="22" customHeight="1" x14ac:dyDescent="0.2">
      <c r="A7" s="1" t="s">
        <v>16</v>
      </c>
      <c r="B7" s="70" t="s">
        <v>212</v>
      </c>
      <c r="C7" s="411" t="s">
        <v>213</v>
      </c>
      <c r="D7" s="68" t="s">
        <v>17</v>
      </c>
      <c r="E7" s="75" t="str">
        <f>" Total IOX ("&amp;B7&amp;") I/O ="</f>
        <v xml:space="preserve"> Total IOX (0x20) I/O =</v>
      </c>
      <c r="F7" s="89">
        <f t="shared" si="4"/>
        <v>32</v>
      </c>
      <c r="G7" s="331"/>
      <c r="H7" s="96" t="str">
        <f>IF($L7&lt;&gt;"n/a",VLOOKUP($L7,IOXJumperConfiguration,2,TRUE),$L7)</f>
        <v>ADDR 20-21</v>
      </c>
      <c r="I7" s="10" t="str">
        <f t="shared" ref="I7:I14" si="6">IF($L7&lt;&gt;"n/a",VLOOKUP($L7,IOXJumperConfiguration,3,TRUE),$L7)</f>
        <v>n/a</v>
      </c>
      <c r="J7" s="10" t="str">
        <f t="shared" ref="J7:J14" si="7">IF($L7&lt;&gt;"n/a",VLOOKUP($L7,IOXJumperConfiguration,4,TRUE),$L7)</f>
        <v>Out</v>
      </c>
      <c r="K7" s="10" t="str">
        <f t="shared" ref="K7:K14" si="8">IF($L7&lt;&gt;"n/a",VLOOKUP($L7,IOXJumperConfiguration,5,TRUE),$L7)</f>
        <v>Out</v>
      </c>
      <c r="L7" s="101" t="str">
        <f t="shared" ref="L7:L14" si="9">IF(LEFT($D7,3)="IOX", LEFT($D7,5)&amp;RIGHT($D7,2), "n/a")</f>
        <v>IOX32_0</v>
      </c>
      <c r="M7" s="98">
        <f>SUM($F$6:$F$14)</f>
        <v>48</v>
      </c>
      <c r="N7" s="81" t="s">
        <v>214</v>
      </c>
      <c r="O7" s="280" t="s">
        <v>708</v>
      </c>
      <c r="P7" s="282">
        <f t="shared" si="5"/>
        <v>32</v>
      </c>
      <c r="Q7" s="98" t="str">
        <f t="shared" si="0"/>
        <v>-</v>
      </c>
      <c r="R7" s="10" t="str">
        <f t="shared" si="1"/>
        <v>-</v>
      </c>
      <c r="S7" s="29" t="b">
        <f t="shared" si="3"/>
        <v>0</v>
      </c>
      <c r="T7" s="10">
        <v>4</v>
      </c>
      <c r="U7" s="10" t="b">
        <f t="shared" si="2"/>
        <v>1</v>
      </c>
      <c r="V7" s="10" t="str">
        <f>"ADDR 24-25"</f>
        <v>ADDR 24-25</v>
      </c>
      <c r="W7" s="10" t="str">
        <f>"ADDR 24"</f>
        <v>ADDR 24</v>
      </c>
      <c r="X7" s="92" t="str">
        <f>IF(Q7=V7,LEFT(R7,4),IF(Q7=W7,R7,"-1, -1"))</f>
        <v>-1, -1</v>
      </c>
    </row>
    <row r="8" spans="1:24" ht="22" customHeight="1" x14ac:dyDescent="0.2">
      <c r="A8" s="1" t="s">
        <v>16</v>
      </c>
      <c r="B8" s="70" t="s">
        <v>215</v>
      </c>
      <c r="C8" s="411"/>
      <c r="D8" s="68" t="s">
        <v>74</v>
      </c>
      <c r="E8" s="75" t="str">
        <f t="shared" ref="E8:E14" si="10">" Total IOX ("&amp;B8&amp;") I/O ="</f>
        <v xml:space="preserve"> Total IOX (0x21) I/O =</v>
      </c>
      <c r="F8" s="89">
        <f t="shared" si="4"/>
        <v>0</v>
      </c>
      <c r="G8" s="331"/>
      <c r="H8" s="96" t="str">
        <f t="shared" ref="H8:H14" si="11">IF(L8&lt;&gt;"n/a",VLOOKUP(L8,IOXJumperConfiguration,2,TRUE),L8)</f>
        <v>n/a</v>
      </c>
      <c r="I8" s="72" t="str">
        <f t="shared" si="6"/>
        <v>n/a</v>
      </c>
      <c r="J8" s="72" t="str">
        <f t="shared" si="7"/>
        <v>n/a</v>
      </c>
      <c r="K8" s="72" t="str">
        <f t="shared" si="8"/>
        <v>n/a</v>
      </c>
      <c r="L8" s="92" t="str">
        <f t="shared" si="9"/>
        <v>n/a</v>
      </c>
      <c r="M8" s="99">
        <f>COUNTIF(D7:D14,"IOX16*")*2</f>
        <v>0</v>
      </c>
      <c r="N8" s="81" t="s">
        <v>216</v>
      </c>
      <c r="O8" s="280" t="s">
        <v>703</v>
      </c>
      <c r="P8" s="282">
        <f t="shared" si="5"/>
        <v>0</v>
      </c>
      <c r="Q8" s="98" t="str">
        <f t="shared" si="0"/>
        <v>-</v>
      </c>
      <c r="R8" s="10" t="str">
        <f t="shared" si="1"/>
        <v>-</v>
      </c>
      <c r="S8" s="29" t="b">
        <f t="shared" si="3"/>
        <v>0</v>
      </c>
      <c r="T8" s="10">
        <v>5</v>
      </c>
      <c r="U8" s="10" t="b">
        <f t="shared" si="2"/>
        <v>1</v>
      </c>
      <c r="V8" s="10"/>
      <c r="W8" s="10" t="str">
        <f>"ADDR 25"</f>
        <v>ADDR 25</v>
      </c>
      <c r="X8" s="92" t="str">
        <f>IF(Q7=V7,RIGHT(R7,4),IF(Q8=W8,R8,"-1, -1"))</f>
        <v>-1, -1</v>
      </c>
    </row>
    <row r="9" spans="1:24" ht="22" customHeight="1" x14ac:dyDescent="0.2">
      <c r="A9" s="1" t="s">
        <v>16</v>
      </c>
      <c r="B9" s="70" t="s">
        <v>217</v>
      </c>
      <c r="C9" s="411"/>
      <c r="D9" s="68" t="s">
        <v>74</v>
      </c>
      <c r="E9" s="75" t="str">
        <f t="shared" si="10"/>
        <v xml:space="preserve"> Total IOX (0x22) I/O =</v>
      </c>
      <c r="F9" s="89">
        <f t="shared" si="4"/>
        <v>0</v>
      </c>
      <c r="G9" s="331"/>
      <c r="H9" s="96" t="str">
        <f t="shared" si="11"/>
        <v>n/a</v>
      </c>
      <c r="I9" s="72" t="str">
        <f t="shared" si="6"/>
        <v>n/a</v>
      </c>
      <c r="J9" s="72" t="str">
        <f t="shared" si="7"/>
        <v>n/a</v>
      </c>
      <c r="K9" s="72" t="str">
        <f t="shared" si="8"/>
        <v>n/a</v>
      </c>
      <c r="L9" s="92" t="str">
        <f t="shared" si="9"/>
        <v>n/a</v>
      </c>
      <c r="M9" s="99">
        <f>COUNTIF(D7:D14,"IOX32*")*4</f>
        <v>4</v>
      </c>
      <c r="N9" s="95" t="s">
        <v>218</v>
      </c>
      <c r="O9" s="280" t="s">
        <v>704</v>
      </c>
      <c r="P9" s="282">
        <f t="shared" si="5"/>
        <v>0</v>
      </c>
      <c r="Q9" s="98" t="str">
        <f t="shared" si="0"/>
        <v>-</v>
      </c>
      <c r="R9" s="10" t="str">
        <f t="shared" si="1"/>
        <v>-</v>
      </c>
      <c r="S9" s="29" t="b">
        <f t="shared" si="3"/>
        <v>0</v>
      </c>
      <c r="T9" s="10">
        <v>6</v>
      </c>
      <c r="U9" s="10" t="b">
        <f t="shared" si="2"/>
        <v>1</v>
      </c>
      <c r="V9" s="10" t="str">
        <f>"ADDR 26-27"</f>
        <v>ADDR 26-27</v>
      </c>
      <c r="W9" s="10" t="str">
        <f>"ADDR 26"</f>
        <v>ADDR 26</v>
      </c>
      <c r="X9" s="92" t="str">
        <f>IF(Q9=V9,LEFT(R9,4),IF(Q9=W9,R9,"-1, -1"))</f>
        <v>-1, -1</v>
      </c>
    </row>
    <row r="10" spans="1:24" ht="22" customHeight="1" x14ac:dyDescent="0.2">
      <c r="A10" s="1" t="s">
        <v>16</v>
      </c>
      <c r="B10" s="70" t="s">
        <v>219</v>
      </c>
      <c r="C10" s="411"/>
      <c r="D10" s="68" t="s">
        <v>74</v>
      </c>
      <c r="E10" s="75" t="str">
        <f t="shared" si="10"/>
        <v xml:space="preserve"> Total IOX (0x23) I/O =</v>
      </c>
      <c r="F10" s="89">
        <f t="shared" si="4"/>
        <v>0</v>
      </c>
      <c r="G10" s="331"/>
      <c r="H10" s="96" t="str">
        <f t="shared" si="11"/>
        <v>n/a</v>
      </c>
      <c r="I10" s="72" t="str">
        <f t="shared" si="6"/>
        <v>n/a</v>
      </c>
      <c r="J10" s="72" t="str">
        <f t="shared" si="7"/>
        <v>n/a</v>
      </c>
      <c r="K10" s="72" t="str">
        <f t="shared" si="8"/>
        <v>n/a</v>
      </c>
      <c r="L10" s="92" t="str">
        <f t="shared" si="9"/>
        <v>n/a</v>
      </c>
      <c r="M10" s="99">
        <f>4*4</f>
        <v>16</v>
      </c>
      <c r="N10" s="95" t="s">
        <v>220</v>
      </c>
      <c r="O10" s="280" t="s">
        <v>705</v>
      </c>
      <c r="P10" s="282">
        <f t="shared" si="5"/>
        <v>0</v>
      </c>
      <c r="Q10" s="98" t="str">
        <f t="shared" si="0"/>
        <v>-</v>
      </c>
      <c r="R10" s="10" t="str">
        <f t="shared" si="1"/>
        <v>-</v>
      </c>
      <c r="S10" s="29" t="b">
        <f t="shared" si="3"/>
        <v>0</v>
      </c>
      <c r="T10" s="10">
        <v>7</v>
      </c>
      <c r="U10" s="10" t="b">
        <f t="shared" si="2"/>
        <v>1</v>
      </c>
      <c r="V10" s="10"/>
      <c r="W10" s="10" t="str">
        <f>"ADDR 27"</f>
        <v>ADDR 27</v>
      </c>
      <c r="X10" s="92" t="str">
        <f>IF(Q9=V9,RIGHT(R9,4),IF(Q10=W10,R10,"-1, -1"))</f>
        <v>-1, -1</v>
      </c>
    </row>
    <row r="11" spans="1:24" ht="22" customHeight="1" thickBot="1" x14ac:dyDescent="0.25">
      <c r="A11" s="1" t="s">
        <v>16</v>
      </c>
      <c r="B11" s="70" t="s">
        <v>221</v>
      </c>
      <c r="C11" s="411"/>
      <c r="D11" s="68" t="s">
        <v>74</v>
      </c>
      <c r="E11" s="75" t="str">
        <f t="shared" si="10"/>
        <v xml:space="preserve"> Total IOX (0x24) I/O =</v>
      </c>
      <c r="F11" s="89">
        <f t="shared" si="4"/>
        <v>0</v>
      </c>
      <c r="G11" s="331"/>
      <c r="H11" s="96" t="str">
        <f t="shared" si="11"/>
        <v>n/a</v>
      </c>
      <c r="I11" s="72" t="str">
        <f t="shared" si="6"/>
        <v>n/a</v>
      </c>
      <c r="J11" s="72" t="str">
        <f t="shared" si="7"/>
        <v>n/a</v>
      </c>
      <c r="K11" s="72" t="str">
        <f t="shared" si="8"/>
        <v>n/a</v>
      </c>
      <c r="L11" s="92" t="str">
        <f t="shared" si="9"/>
        <v>n/a</v>
      </c>
      <c r="M11" s="99">
        <f>M10-M8-M9</f>
        <v>12</v>
      </c>
      <c r="N11" s="95" t="s">
        <v>222</v>
      </c>
      <c r="O11" s="280" t="s">
        <v>706</v>
      </c>
      <c r="P11" s="282">
        <f t="shared" si="5"/>
        <v>0</v>
      </c>
      <c r="Q11" s="271"/>
      <c r="R11" s="107" t="s">
        <v>223</v>
      </c>
      <c r="S11" s="106" t="b">
        <f>OR(S3:S10)</f>
        <v>1</v>
      </c>
      <c r="T11" s="7"/>
      <c r="U11" s="106" t="b">
        <f>AND(U3:U10)</f>
        <v>1</v>
      </c>
      <c r="V11" s="106"/>
      <c r="W11" s="106"/>
      <c r="X11" s="108"/>
    </row>
    <row r="12" spans="1:24" ht="22" customHeight="1" x14ac:dyDescent="0.2">
      <c r="A12" s="1" t="s">
        <v>16</v>
      </c>
      <c r="B12" s="70" t="s">
        <v>224</v>
      </c>
      <c r="C12" s="411"/>
      <c r="D12" s="68" t="s">
        <v>74</v>
      </c>
      <c r="E12" s="75" t="str">
        <f t="shared" si="10"/>
        <v xml:space="preserve"> Total IOX (0x25) I/O =</v>
      </c>
      <c r="F12" s="89">
        <f t="shared" si="4"/>
        <v>0</v>
      </c>
      <c r="G12" s="331"/>
      <c r="H12" s="96" t="str">
        <f t="shared" si="11"/>
        <v>n/a</v>
      </c>
      <c r="I12" s="72" t="str">
        <f t="shared" si="6"/>
        <v>n/a</v>
      </c>
      <c r="J12" s="72" t="str">
        <f t="shared" si="7"/>
        <v>n/a</v>
      </c>
      <c r="K12" s="72" t="str">
        <f t="shared" si="8"/>
        <v>n/a</v>
      </c>
      <c r="L12" s="92" t="str">
        <f t="shared" si="9"/>
        <v>n/a</v>
      </c>
      <c r="M12" s="99">
        <f>FLOOR(M11/2,1)</f>
        <v>6</v>
      </c>
      <c r="N12" s="95" t="s">
        <v>225</v>
      </c>
      <c r="O12" s="272" t="s">
        <v>135</v>
      </c>
      <c r="P12" s="282">
        <f t="shared" si="5"/>
        <v>112</v>
      </c>
    </row>
    <row r="13" spans="1:24" ht="22" customHeight="1" x14ac:dyDescent="0.2">
      <c r="A13" s="1" t="s">
        <v>16</v>
      </c>
      <c r="B13" s="70" t="s">
        <v>226</v>
      </c>
      <c r="C13" s="411"/>
      <c r="D13" s="68" t="s">
        <v>74</v>
      </c>
      <c r="E13" s="75" t="str">
        <f t="shared" si="10"/>
        <v xml:space="preserve"> Total IOX (0x26) I/O =</v>
      </c>
      <c r="F13" s="89">
        <f t="shared" si="4"/>
        <v>0</v>
      </c>
      <c r="G13" s="331"/>
      <c r="H13" s="96" t="str">
        <f t="shared" si="11"/>
        <v>n/a</v>
      </c>
      <c r="I13" s="72" t="str">
        <f t="shared" si="6"/>
        <v>n/a</v>
      </c>
      <c r="J13" s="72" t="str">
        <f t="shared" si="7"/>
        <v>n/a</v>
      </c>
      <c r="K13" s="72" t="str">
        <f t="shared" si="8"/>
        <v>n/a</v>
      </c>
      <c r="L13" s="92" t="str">
        <f t="shared" si="9"/>
        <v>n/a</v>
      </c>
      <c r="M13" s="99">
        <f>FLOOR(M11/4,1)</f>
        <v>3</v>
      </c>
      <c r="N13" s="95" t="s">
        <v>227</v>
      </c>
      <c r="O13" s="272" t="s">
        <v>685</v>
      </c>
      <c r="P13" s="282">
        <f>SUM(P6:P12)</f>
        <v>144</v>
      </c>
    </row>
    <row r="14" spans="1:24" ht="22" customHeight="1" thickBot="1" x14ac:dyDescent="0.25">
      <c r="A14" s="1" t="s">
        <v>16</v>
      </c>
      <c r="B14" s="260" t="s">
        <v>228</v>
      </c>
      <c r="C14" s="456"/>
      <c r="D14" s="261" t="s">
        <v>74</v>
      </c>
      <c r="E14" s="262" t="str">
        <f t="shared" si="10"/>
        <v xml:space="preserve"> Total IOX (0x27) I/O =</v>
      </c>
      <c r="F14" s="263">
        <f t="shared" si="4"/>
        <v>0</v>
      </c>
      <c r="G14" s="333"/>
      <c r="H14" s="264" t="str">
        <f t="shared" si="11"/>
        <v>n/a</v>
      </c>
      <c r="I14" s="265" t="str">
        <f t="shared" si="6"/>
        <v>n/a</v>
      </c>
      <c r="J14" s="265" t="str">
        <f t="shared" si="7"/>
        <v>n/a</v>
      </c>
      <c r="K14" s="265" t="str">
        <f t="shared" si="8"/>
        <v>n/a</v>
      </c>
      <c r="L14" s="266" t="str">
        <f t="shared" si="9"/>
        <v>n/a</v>
      </c>
      <c r="M14" s="267"/>
      <c r="N14" s="268"/>
      <c r="O14" s="274"/>
      <c r="P14" s="284"/>
    </row>
    <row r="15" spans="1:24" s="2" customFormat="1" ht="27" customHeight="1" thickBot="1" x14ac:dyDescent="0.25">
      <c r="B15" s="413" t="s">
        <v>549</v>
      </c>
      <c r="C15" s="414"/>
      <c r="D15" s="414"/>
      <c r="E15" s="414"/>
      <c r="F15" s="414"/>
      <c r="G15" s="414"/>
      <c r="H15" s="414"/>
      <c r="I15" s="414"/>
      <c r="J15" s="414"/>
      <c r="K15" s="414"/>
      <c r="L15" s="414"/>
      <c r="M15" s="414"/>
      <c r="N15" s="414"/>
      <c r="O15" s="414"/>
      <c r="P15" s="415"/>
    </row>
    <row r="16" spans="1:24"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row>
    <row r="17" spans="1:63" s="3" customFormat="1" x14ac:dyDescent="0.2">
      <c r="A17" s="150"/>
      <c r="B17" s="255" t="s">
        <v>46</v>
      </c>
      <c r="C17" s="311" t="s">
        <v>708</v>
      </c>
      <c r="D17" s="256" t="s">
        <v>786</v>
      </c>
      <c r="E17" s="320" t="str">
        <f t="shared" ref="E17:E48" si="12">IF(P17="-",P17,_xlfn.CONCAT(C17,":",P17))</f>
        <v>CTC_XOVR_RIGHT:OME:TS1</v>
      </c>
      <c r="F17" s="256" t="s">
        <v>74</v>
      </c>
      <c r="G17" s="325" t="s">
        <v>783</v>
      </c>
      <c r="H17" s="256" t="s">
        <v>13</v>
      </c>
      <c r="I17" s="254">
        <f>IF(LEFT(H17,4)="BASE",0,IF(LEFT(H17,3)="IOX", VALUE(MID(H17,4,2))*VALUE(RIGHT(H17,1)),0))</f>
        <v>0</v>
      </c>
      <c r="J17" s="5">
        <f t="shared" ref="J17:J64" si="13">IF(AND(H17=H16,B17=B16), J16+1,1)</f>
        <v>1</v>
      </c>
      <c r="K17" s="15" t="str">
        <f t="shared" ref="K17:K80" si="14">VLOOKUP(H17,nodeDevicePinConfigTable,3+J17+(IF(B17="IN",0,1)*VLOOKUP(H17,nodeDevicePinConfigTable,2,TRUE)),TRUE)</f>
        <v>D4</v>
      </c>
      <c r="L17" s="15" t="str">
        <f t="shared" ref="L17:L80" si="15">VLOOKUP(H17,nodeJMRIPinConfigTable,3+J17+(IF(B17="IN",0,1)*VLOOKUP(H17,nodeJMRIPinConfigTable,2,TRUE)),TRUE)</f>
        <v>CSn001</v>
      </c>
      <c r="M17" s="15" t="str">
        <f t="shared" ref="M17:M80" ca="1" si="16">CONCATENATE(LEFT(L17,2),$D$5*1000+VALUE(RIGHT(L17,3)+I17))</f>
        <v>CS5001</v>
      </c>
      <c r="N17" s="226" t="s">
        <v>624</v>
      </c>
      <c r="O17" s="275"/>
      <c r="P17" s="226" t="s">
        <v>714</v>
      </c>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row>
    <row r="18" spans="1:63" x14ac:dyDescent="0.2">
      <c r="A18" s="147"/>
      <c r="B18" s="152" t="s">
        <v>46</v>
      </c>
      <c r="C18" s="230" t="s">
        <v>708</v>
      </c>
      <c r="D18" s="230" t="s">
        <v>786</v>
      </c>
      <c r="E18" s="315" t="str">
        <f t="shared" si="12"/>
        <v>CTC_XOVR_RIGHT:OME:TS2</v>
      </c>
      <c r="F18" s="230" t="s">
        <v>74</v>
      </c>
      <c r="G18" s="230" t="s">
        <v>783</v>
      </c>
      <c r="H18" s="230" t="s">
        <v>13</v>
      </c>
      <c r="I18" s="10">
        <f t="shared" ref="I18:I81" si="17">IF(LEFT(H18,4)="BASE",0,IF(LEFT(H18,3)="IOX", VALUE(MID(H18,4,2))*VALUE(RIGHT(H18,1)),0))</f>
        <v>0</v>
      </c>
      <c r="J18" s="6">
        <f t="shared" si="13"/>
        <v>2</v>
      </c>
      <c r="K18" s="16" t="str">
        <f t="shared" si="14"/>
        <v>D5</v>
      </c>
      <c r="L18" s="16" t="str">
        <f t="shared" si="15"/>
        <v>CSn002</v>
      </c>
      <c r="M18" s="16" t="str">
        <f t="shared" ca="1" si="16"/>
        <v>CS5002</v>
      </c>
      <c r="N18" s="227" t="s">
        <v>625</v>
      </c>
      <c r="O18" s="276"/>
      <c r="P18" s="227" t="s">
        <v>715</v>
      </c>
    </row>
    <row r="19" spans="1:63" x14ac:dyDescent="0.2">
      <c r="A19" s="147"/>
      <c r="B19" s="152" t="s">
        <v>46</v>
      </c>
      <c r="C19" s="230" t="s">
        <v>135</v>
      </c>
      <c r="D19" s="230" t="s">
        <v>135</v>
      </c>
      <c r="E19" s="315" t="str">
        <f t="shared" si="12"/>
        <v>-</v>
      </c>
      <c r="F19" s="230" t="s">
        <v>74</v>
      </c>
      <c r="G19" s="230"/>
      <c r="H19" s="230" t="s">
        <v>13</v>
      </c>
      <c r="I19" s="10">
        <f t="shared" si="17"/>
        <v>0</v>
      </c>
      <c r="J19" s="6">
        <f t="shared" si="13"/>
        <v>3</v>
      </c>
      <c r="K19" s="16" t="str">
        <f t="shared" si="14"/>
        <v>D6</v>
      </c>
      <c r="L19" s="16" t="str">
        <f t="shared" si="15"/>
        <v>CSn003</v>
      </c>
      <c r="M19" s="16" t="str">
        <f t="shared" ca="1" si="16"/>
        <v>CS5003</v>
      </c>
      <c r="N19" s="227"/>
      <c r="O19" s="276"/>
      <c r="P19" s="227" t="s">
        <v>74</v>
      </c>
    </row>
    <row r="20" spans="1:63" x14ac:dyDescent="0.2">
      <c r="A20" s="147"/>
      <c r="B20" s="152" t="s">
        <v>46</v>
      </c>
      <c r="C20" s="230" t="s">
        <v>135</v>
      </c>
      <c r="D20" s="230" t="s">
        <v>135</v>
      </c>
      <c r="E20" s="315" t="str">
        <f t="shared" si="12"/>
        <v>-</v>
      </c>
      <c r="F20" s="230" t="s">
        <v>74</v>
      </c>
      <c r="G20" s="230"/>
      <c r="H20" s="230" t="s">
        <v>13</v>
      </c>
      <c r="I20" s="10">
        <f t="shared" si="17"/>
        <v>0</v>
      </c>
      <c r="J20" s="6">
        <f t="shared" si="13"/>
        <v>4</v>
      </c>
      <c r="K20" s="16" t="str">
        <f t="shared" si="14"/>
        <v>D7</v>
      </c>
      <c r="L20" s="16" t="str">
        <f t="shared" si="15"/>
        <v>CSn004</v>
      </c>
      <c r="M20" s="16" t="str">
        <f t="shared" ca="1" si="16"/>
        <v>CS5004</v>
      </c>
      <c r="N20" s="227"/>
      <c r="O20" s="276"/>
      <c r="P20" s="227" t="s">
        <v>74</v>
      </c>
    </row>
    <row r="21" spans="1:63" x14ac:dyDescent="0.2">
      <c r="A21" s="147"/>
      <c r="B21" s="152" t="s">
        <v>46</v>
      </c>
      <c r="C21" s="230" t="s">
        <v>708</v>
      </c>
      <c r="D21" s="230" t="s">
        <v>786</v>
      </c>
      <c r="E21" s="315" t="str">
        <f t="shared" ref="E21:E22" si="18">IF(P21="-",P21,_xlfn.CONCAT(C21,":",P21))</f>
        <v>CTC_XOVR_RIGHT:IMW:TS1</v>
      </c>
      <c r="F21" s="230" t="s">
        <v>74</v>
      </c>
      <c r="G21" s="230" t="s">
        <v>783</v>
      </c>
      <c r="H21" s="230" t="s">
        <v>13</v>
      </c>
      <c r="I21" s="10">
        <f t="shared" si="17"/>
        <v>0</v>
      </c>
      <c r="J21" s="6">
        <f t="shared" si="13"/>
        <v>5</v>
      </c>
      <c r="K21" s="16" t="str">
        <f t="shared" si="14"/>
        <v>D8</v>
      </c>
      <c r="L21" s="16" t="str">
        <f t="shared" si="15"/>
        <v>CSn005</v>
      </c>
      <c r="M21" s="16" t="str">
        <f t="shared" ca="1" si="16"/>
        <v>CS5005</v>
      </c>
      <c r="N21" s="227" t="s">
        <v>626</v>
      </c>
      <c r="O21" s="276"/>
      <c r="P21" s="227" t="s">
        <v>742</v>
      </c>
    </row>
    <row r="22" spans="1:63" s="4" customFormat="1" ht="16" thickBot="1" x14ac:dyDescent="0.25">
      <c r="A22" s="147"/>
      <c r="B22" s="152" t="s">
        <v>46</v>
      </c>
      <c r="C22" s="230" t="s">
        <v>708</v>
      </c>
      <c r="D22" s="230" t="s">
        <v>786</v>
      </c>
      <c r="E22" s="315" t="str">
        <f t="shared" si="18"/>
        <v>CTC_XOVR_RIGHT:IMW:TS2</v>
      </c>
      <c r="F22" s="230" t="s">
        <v>74</v>
      </c>
      <c r="G22" s="230" t="s">
        <v>783</v>
      </c>
      <c r="H22" s="230" t="s">
        <v>13</v>
      </c>
      <c r="I22" s="10">
        <f t="shared" si="17"/>
        <v>0</v>
      </c>
      <c r="J22" s="6">
        <f t="shared" si="13"/>
        <v>6</v>
      </c>
      <c r="K22" s="16" t="str">
        <f t="shared" si="14"/>
        <v>D9</v>
      </c>
      <c r="L22" s="16" t="str">
        <f t="shared" si="15"/>
        <v>CSn006</v>
      </c>
      <c r="M22" s="16" t="str">
        <f t="shared" ca="1" si="16"/>
        <v>CS5006</v>
      </c>
      <c r="N22" s="227" t="s">
        <v>627</v>
      </c>
      <c r="O22" s="276"/>
      <c r="P22" s="227" t="s">
        <v>743</v>
      </c>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s="3" customFormat="1" x14ac:dyDescent="0.2">
      <c r="A23" s="147"/>
      <c r="B23" s="152" t="s">
        <v>46</v>
      </c>
      <c r="C23" s="230" t="s">
        <v>135</v>
      </c>
      <c r="D23" s="230" t="s">
        <v>135</v>
      </c>
      <c r="E23" s="315" t="str">
        <f t="shared" si="12"/>
        <v>-</v>
      </c>
      <c r="F23" s="230" t="s">
        <v>74</v>
      </c>
      <c r="G23" s="230"/>
      <c r="H23" s="230" t="s">
        <v>13</v>
      </c>
      <c r="I23" s="10">
        <f t="shared" si="17"/>
        <v>0</v>
      </c>
      <c r="J23" s="6">
        <f t="shared" si="13"/>
        <v>7</v>
      </c>
      <c r="K23" s="16" t="str">
        <f t="shared" si="14"/>
        <v>D10</v>
      </c>
      <c r="L23" s="16" t="str">
        <f t="shared" si="15"/>
        <v>CSn007</v>
      </c>
      <c r="M23" s="16" t="str">
        <f t="shared" ca="1" si="16"/>
        <v>CS5007</v>
      </c>
      <c r="N23" s="227"/>
      <c r="O23" s="276"/>
      <c r="P23" s="227" t="s">
        <v>74</v>
      </c>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x14ac:dyDescent="0.2">
      <c r="A24" s="147"/>
      <c r="B24" s="152" t="s">
        <v>46</v>
      </c>
      <c r="C24" s="230" t="s">
        <v>135</v>
      </c>
      <c r="D24" s="230" t="s">
        <v>135</v>
      </c>
      <c r="E24" s="315" t="str">
        <f t="shared" si="12"/>
        <v>-</v>
      </c>
      <c r="F24" s="230" t="s">
        <v>74</v>
      </c>
      <c r="G24" s="230"/>
      <c r="H24" s="230" t="s">
        <v>13</v>
      </c>
      <c r="I24" s="10">
        <f t="shared" si="17"/>
        <v>0</v>
      </c>
      <c r="J24" s="6">
        <f t="shared" si="13"/>
        <v>8</v>
      </c>
      <c r="K24" s="16" t="str">
        <f t="shared" si="14"/>
        <v>D11</v>
      </c>
      <c r="L24" s="16" t="str">
        <f t="shared" si="15"/>
        <v>CSn008</v>
      </c>
      <c r="M24" s="16" t="str">
        <f t="shared" ca="1" si="16"/>
        <v>CS5008</v>
      </c>
      <c r="N24" s="227"/>
      <c r="O24" s="276"/>
      <c r="P24" s="227" t="s">
        <v>74</v>
      </c>
    </row>
    <row r="25" spans="1:63" x14ac:dyDescent="0.2">
      <c r="A25" s="147"/>
      <c r="B25" s="152" t="s">
        <v>46</v>
      </c>
      <c r="C25" s="230" t="s">
        <v>708</v>
      </c>
      <c r="D25" s="230" t="s">
        <v>711</v>
      </c>
      <c r="E25" s="315" t="str">
        <f t="shared" si="12"/>
        <v>CTC_XOVR_RIGHT:TO_RSR</v>
      </c>
      <c r="F25" s="230" t="s">
        <v>74</v>
      </c>
      <c r="G25" s="230" t="s">
        <v>782</v>
      </c>
      <c r="H25" s="230" t="s">
        <v>13</v>
      </c>
      <c r="I25" s="10">
        <f t="shared" si="17"/>
        <v>0</v>
      </c>
      <c r="J25" s="6">
        <f t="shared" si="13"/>
        <v>9</v>
      </c>
      <c r="K25" s="16" t="str">
        <f t="shared" si="14"/>
        <v>D12</v>
      </c>
      <c r="L25" s="16" t="str">
        <f t="shared" si="15"/>
        <v>CSn009</v>
      </c>
      <c r="M25" s="16" t="str">
        <f t="shared" ca="1" si="16"/>
        <v>CS5009</v>
      </c>
      <c r="N25" s="227" t="s">
        <v>794</v>
      </c>
      <c r="O25" s="276"/>
      <c r="P25" s="227" t="s">
        <v>792</v>
      </c>
    </row>
    <row r="26" spans="1:63" x14ac:dyDescent="0.2">
      <c r="A26" s="147"/>
      <c r="B26" s="152" t="s">
        <v>46</v>
      </c>
      <c r="C26" s="230" t="s">
        <v>708</v>
      </c>
      <c r="D26" s="230" t="s">
        <v>785</v>
      </c>
      <c r="E26" s="315" t="str">
        <f t="shared" si="12"/>
        <v>CTC_XOVR_RIGHT:TO_RUR</v>
      </c>
      <c r="F26" s="230" t="s">
        <v>74</v>
      </c>
      <c r="G26" s="230" t="s">
        <v>782</v>
      </c>
      <c r="H26" s="230" t="s">
        <v>13</v>
      </c>
      <c r="I26" s="10">
        <f t="shared" si="17"/>
        <v>0</v>
      </c>
      <c r="J26" s="6">
        <f t="shared" si="13"/>
        <v>10</v>
      </c>
      <c r="K26" s="16" t="str">
        <f t="shared" si="14"/>
        <v>D13</v>
      </c>
      <c r="L26" s="16" t="str">
        <f t="shared" si="15"/>
        <v>CSn010</v>
      </c>
      <c r="M26" s="16" t="str">
        <f t="shared" ca="1" si="16"/>
        <v>CS5010</v>
      </c>
      <c r="N26" s="227" t="s">
        <v>810</v>
      </c>
      <c r="O26" s="276"/>
      <c r="P26" s="227" t="s">
        <v>808</v>
      </c>
    </row>
    <row r="27" spans="1:63" x14ac:dyDescent="0.2">
      <c r="A27" s="147"/>
      <c r="B27" s="152" t="s">
        <v>46</v>
      </c>
      <c r="C27" s="230" t="s">
        <v>135</v>
      </c>
      <c r="D27" s="230" t="s">
        <v>135</v>
      </c>
      <c r="E27" s="315" t="str">
        <f t="shared" si="12"/>
        <v>-</v>
      </c>
      <c r="F27" s="230" t="s">
        <v>74</v>
      </c>
      <c r="G27" s="230"/>
      <c r="H27" s="230" t="s">
        <v>13</v>
      </c>
      <c r="I27" s="10">
        <f t="shared" si="17"/>
        <v>0</v>
      </c>
      <c r="J27" s="6">
        <f t="shared" si="13"/>
        <v>11</v>
      </c>
      <c r="K27" s="16" t="str">
        <f t="shared" si="14"/>
        <v>A0</v>
      </c>
      <c r="L27" s="16" t="str">
        <f t="shared" si="15"/>
        <v>CSn011</v>
      </c>
      <c r="M27" s="16" t="str">
        <f t="shared" ca="1" si="16"/>
        <v>CS5011</v>
      </c>
      <c r="N27" s="227"/>
      <c r="O27" s="227"/>
      <c r="P27" s="227" t="s">
        <v>74</v>
      </c>
    </row>
    <row r="28" spans="1:63" x14ac:dyDescent="0.2">
      <c r="A28" s="147"/>
      <c r="B28" s="152" t="s">
        <v>46</v>
      </c>
      <c r="C28" s="230" t="s">
        <v>135</v>
      </c>
      <c r="D28" s="230" t="s">
        <v>135</v>
      </c>
      <c r="E28" s="315" t="str">
        <f t="shared" si="12"/>
        <v>-</v>
      </c>
      <c r="F28" s="230" t="s">
        <v>74</v>
      </c>
      <c r="G28" s="230"/>
      <c r="H28" s="230" t="s">
        <v>13</v>
      </c>
      <c r="I28" s="10">
        <f t="shared" si="17"/>
        <v>0</v>
      </c>
      <c r="J28" s="6">
        <f t="shared" si="13"/>
        <v>12</v>
      </c>
      <c r="K28" s="16" t="str">
        <f t="shared" si="14"/>
        <v>A1</v>
      </c>
      <c r="L28" s="16" t="str">
        <f t="shared" si="15"/>
        <v>CSn012</v>
      </c>
      <c r="M28" s="16" t="str">
        <f t="shared" ca="1" si="16"/>
        <v>CS5012</v>
      </c>
      <c r="N28" s="227"/>
      <c r="O28" s="227"/>
      <c r="P28" s="227" t="s">
        <v>74</v>
      </c>
    </row>
    <row r="29" spans="1:63" x14ac:dyDescent="0.2">
      <c r="A29" s="147"/>
      <c r="B29" s="152" t="s">
        <v>46</v>
      </c>
      <c r="C29" s="230" t="s">
        <v>135</v>
      </c>
      <c r="D29" s="230" t="s">
        <v>135</v>
      </c>
      <c r="E29" s="315" t="str">
        <f t="shared" si="12"/>
        <v>-</v>
      </c>
      <c r="F29" s="230" t="s">
        <v>74</v>
      </c>
      <c r="G29" s="230"/>
      <c r="H29" s="230" t="s">
        <v>13</v>
      </c>
      <c r="I29" s="10">
        <f t="shared" si="17"/>
        <v>0</v>
      </c>
      <c r="J29" s="6">
        <f t="shared" si="13"/>
        <v>13</v>
      </c>
      <c r="K29" s="16" t="str">
        <f t="shared" si="14"/>
        <v>A2</v>
      </c>
      <c r="L29" s="16" t="str">
        <f t="shared" si="15"/>
        <v>CSn013</v>
      </c>
      <c r="M29" s="16" t="str">
        <f t="shared" ca="1" si="16"/>
        <v>CS5013</v>
      </c>
      <c r="N29" s="227"/>
      <c r="O29" s="227"/>
      <c r="P29" s="227" t="s">
        <v>74</v>
      </c>
    </row>
    <row r="30" spans="1:63" x14ac:dyDescent="0.2">
      <c r="A30" s="147"/>
      <c r="B30" s="152" t="s">
        <v>46</v>
      </c>
      <c r="C30" s="230" t="s">
        <v>135</v>
      </c>
      <c r="D30" s="230" t="s">
        <v>135</v>
      </c>
      <c r="E30" s="315" t="str">
        <f t="shared" si="12"/>
        <v>-</v>
      </c>
      <c r="F30" s="230" t="s">
        <v>74</v>
      </c>
      <c r="G30" s="230"/>
      <c r="H30" s="230" t="s">
        <v>13</v>
      </c>
      <c r="I30" s="10">
        <f t="shared" si="17"/>
        <v>0</v>
      </c>
      <c r="J30" s="6">
        <f t="shared" si="13"/>
        <v>14</v>
      </c>
      <c r="K30" s="16" t="str">
        <f t="shared" si="14"/>
        <v>A3</v>
      </c>
      <c r="L30" s="16" t="str">
        <f t="shared" si="15"/>
        <v>CSn014</v>
      </c>
      <c r="M30" s="16" t="str">
        <f t="shared" ca="1" si="16"/>
        <v>CS5014</v>
      </c>
      <c r="N30" s="227"/>
      <c r="O30" s="227"/>
      <c r="P30" s="227" t="s">
        <v>74</v>
      </c>
    </row>
    <row r="31" spans="1:63" x14ac:dyDescent="0.2">
      <c r="A31" s="147"/>
      <c r="B31" s="152" t="s">
        <v>46</v>
      </c>
      <c r="C31" s="230" t="s">
        <v>135</v>
      </c>
      <c r="D31" s="230" t="s">
        <v>135</v>
      </c>
      <c r="E31" s="315" t="str">
        <f t="shared" si="12"/>
        <v>-</v>
      </c>
      <c r="F31" s="230" t="s">
        <v>74</v>
      </c>
      <c r="G31" s="230"/>
      <c r="H31" s="230" t="s">
        <v>13</v>
      </c>
      <c r="I31" s="10">
        <f t="shared" si="17"/>
        <v>0</v>
      </c>
      <c r="J31" s="6">
        <f t="shared" si="13"/>
        <v>15</v>
      </c>
      <c r="K31" s="16" t="str">
        <f t="shared" si="14"/>
        <v>A4</v>
      </c>
      <c r="L31" s="16" t="str">
        <f t="shared" si="15"/>
        <v>CSn015</v>
      </c>
      <c r="M31" s="16" t="str">
        <f t="shared" ca="1" si="16"/>
        <v>CS5015</v>
      </c>
      <c r="N31" s="227"/>
      <c r="O31" s="227"/>
      <c r="P31" s="227" t="s">
        <v>74</v>
      </c>
    </row>
    <row r="32" spans="1:63" ht="16" thickBot="1" x14ac:dyDescent="0.25">
      <c r="A32" s="151"/>
      <c r="B32" s="136" t="s">
        <v>46</v>
      </c>
      <c r="C32" s="137" t="s">
        <v>135</v>
      </c>
      <c r="D32" s="137" t="s">
        <v>135</v>
      </c>
      <c r="E32" s="317" t="str">
        <f t="shared" si="12"/>
        <v>-</v>
      </c>
      <c r="F32" s="137" t="s">
        <v>74</v>
      </c>
      <c r="G32" s="137"/>
      <c r="H32" s="137" t="s">
        <v>13</v>
      </c>
      <c r="I32" s="12">
        <f t="shared" si="17"/>
        <v>0</v>
      </c>
      <c r="J32" s="7">
        <f t="shared" si="13"/>
        <v>16</v>
      </c>
      <c r="K32" s="19" t="str">
        <f t="shared" si="14"/>
        <v>A5</v>
      </c>
      <c r="L32" s="19" t="str">
        <f t="shared" si="15"/>
        <v>CSn016</v>
      </c>
      <c r="M32" s="19" t="str">
        <f t="shared" ca="1" si="16"/>
        <v>CS5016</v>
      </c>
      <c r="N32" s="228"/>
      <c r="O32" s="228"/>
      <c r="P32" s="228" t="s">
        <v>74</v>
      </c>
    </row>
    <row r="33" spans="1:63" x14ac:dyDescent="0.2">
      <c r="A33" s="144"/>
      <c r="B33" s="256" t="s">
        <v>50</v>
      </c>
      <c r="C33" s="311" t="s">
        <v>708</v>
      </c>
      <c r="D33" s="256" t="s">
        <v>713</v>
      </c>
      <c r="E33" s="320" t="str">
        <f t="shared" si="12"/>
        <v>CTC_XOVR_RIGHT:OME:DBL:HEAD0:RED</v>
      </c>
      <c r="F33" s="256" t="s">
        <v>74</v>
      </c>
      <c r="G33" s="325" t="s">
        <v>783</v>
      </c>
      <c r="H33" s="256" t="s">
        <v>17</v>
      </c>
      <c r="I33" s="254">
        <f t="shared" si="17"/>
        <v>0</v>
      </c>
      <c r="J33" s="5">
        <f t="shared" si="13"/>
        <v>1</v>
      </c>
      <c r="K33" s="15" t="str">
        <f t="shared" si="14"/>
        <v>lo_DA0</v>
      </c>
      <c r="L33" s="15" t="str">
        <f t="shared" si="15"/>
        <v>CTn017</v>
      </c>
      <c r="M33" s="15" t="str">
        <f t="shared" ca="1" si="16"/>
        <v>CT5017</v>
      </c>
      <c r="N33" s="226" t="s">
        <v>628</v>
      </c>
      <c r="O33" s="226" t="s">
        <v>689</v>
      </c>
      <c r="P33" s="226" t="s">
        <v>722</v>
      </c>
    </row>
    <row r="34" spans="1:63" s="4" customFormat="1" ht="16" thickBot="1" x14ac:dyDescent="0.25">
      <c r="A34" s="145"/>
      <c r="B34" s="230" t="s">
        <v>50</v>
      </c>
      <c r="C34" s="230" t="s">
        <v>708</v>
      </c>
      <c r="D34" s="230" t="s">
        <v>713</v>
      </c>
      <c r="E34" s="315" t="str">
        <f t="shared" si="12"/>
        <v>CTC_XOVR_RIGHT:OME:DBL:HEAD0:YEL</v>
      </c>
      <c r="F34" s="230" t="s">
        <v>74</v>
      </c>
      <c r="G34" s="230" t="s">
        <v>783</v>
      </c>
      <c r="H34" s="230" t="s">
        <v>17</v>
      </c>
      <c r="I34" s="10">
        <f t="shared" si="17"/>
        <v>0</v>
      </c>
      <c r="J34" s="6">
        <f t="shared" si="13"/>
        <v>2</v>
      </c>
      <c r="K34" s="16" t="str">
        <f t="shared" si="14"/>
        <v>lo_DA1</v>
      </c>
      <c r="L34" s="16" t="str">
        <f t="shared" si="15"/>
        <v>CTn018</v>
      </c>
      <c r="M34" s="16" t="str">
        <f t="shared" ca="1" si="16"/>
        <v>CT5018</v>
      </c>
      <c r="N34" s="227" t="s">
        <v>629</v>
      </c>
      <c r="O34" s="227" t="s">
        <v>692</v>
      </c>
      <c r="P34" s="227" t="s">
        <v>723</v>
      </c>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row>
    <row r="35" spans="1:63" x14ac:dyDescent="0.2">
      <c r="A35" s="145"/>
      <c r="B35" s="230" t="s">
        <v>50</v>
      </c>
      <c r="C35" s="230" t="s">
        <v>708</v>
      </c>
      <c r="D35" s="230" t="s">
        <v>713</v>
      </c>
      <c r="E35" s="315" t="str">
        <f t="shared" si="12"/>
        <v>CTC_XOVR_RIGHT:OME:DBL:HEAD0:GRN</v>
      </c>
      <c r="F35" s="230" t="s">
        <v>74</v>
      </c>
      <c r="G35" s="230" t="s">
        <v>783</v>
      </c>
      <c r="H35" s="230" t="s">
        <v>17</v>
      </c>
      <c r="I35" s="10">
        <f t="shared" si="17"/>
        <v>0</v>
      </c>
      <c r="J35" s="6">
        <f t="shared" si="13"/>
        <v>3</v>
      </c>
      <c r="K35" s="16" t="str">
        <f t="shared" si="14"/>
        <v>lo_DA2</v>
      </c>
      <c r="L35" s="16" t="str">
        <f t="shared" si="15"/>
        <v>CTn019</v>
      </c>
      <c r="M35" s="16" t="str">
        <f t="shared" ca="1" si="16"/>
        <v>CT5019</v>
      </c>
      <c r="N35" s="227" t="s">
        <v>630</v>
      </c>
      <c r="O35" s="227" t="s">
        <v>693</v>
      </c>
      <c r="P35" s="227" t="s">
        <v>721</v>
      </c>
    </row>
    <row r="36" spans="1:63" x14ac:dyDescent="0.2">
      <c r="A36" s="145"/>
      <c r="B36" s="230" t="s">
        <v>50</v>
      </c>
      <c r="C36" s="230" t="s">
        <v>708</v>
      </c>
      <c r="D36" s="230" t="s">
        <v>713</v>
      </c>
      <c r="E36" s="315" t="str">
        <f t="shared" si="12"/>
        <v>CTC_XOVR_RIGHT:OME:DBL:HEAD1:RED</v>
      </c>
      <c r="F36" s="230" t="s">
        <v>74</v>
      </c>
      <c r="G36" s="230" t="s">
        <v>783</v>
      </c>
      <c r="H36" s="230" t="s">
        <v>17</v>
      </c>
      <c r="I36" s="10">
        <f t="shared" si="17"/>
        <v>0</v>
      </c>
      <c r="J36" s="6">
        <f t="shared" si="13"/>
        <v>4</v>
      </c>
      <c r="K36" s="16" t="str">
        <f t="shared" si="14"/>
        <v>lo_DA3</v>
      </c>
      <c r="L36" s="16" t="str">
        <f t="shared" si="15"/>
        <v>CTn020</v>
      </c>
      <c r="M36" s="16" t="str">
        <f t="shared" ca="1" si="16"/>
        <v>CT5020</v>
      </c>
      <c r="N36" s="227" t="s">
        <v>631</v>
      </c>
      <c r="O36" s="227" t="s">
        <v>694</v>
      </c>
      <c r="P36" s="227" t="s">
        <v>719</v>
      </c>
    </row>
    <row r="37" spans="1:63" x14ac:dyDescent="0.2">
      <c r="A37" s="145"/>
      <c r="B37" s="230" t="s">
        <v>50</v>
      </c>
      <c r="C37" s="230" t="s">
        <v>708</v>
      </c>
      <c r="D37" s="230" t="s">
        <v>713</v>
      </c>
      <c r="E37" s="315" t="str">
        <f t="shared" si="12"/>
        <v>CTC_XOVR_RIGHT:OME:DBL:HEAD1:YEL</v>
      </c>
      <c r="F37" s="230" t="s">
        <v>74</v>
      </c>
      <c r="G37" s="230" t="s">
        <v>783</v>
      </c>
      <c r="H37" s="230" t="s">
        <v>17</v>
      </c>
      <c r="I37" s="10">
        <f t="shared" si="17"/>
        <v>0</v>
      </c>
      <c r="J37" s="10">
        <f t="shared" si="13"/>
        <v>5</v>
      </c>
      <c r="K37" s="17" t="str">
        <f t="shared" si="14"/>
        <v>lo_DA4</v>
      </c>
      <c r="L37" s="17" t="str">
        <f t="shared" si="15"/>
        <v>CTn021</v>
      </c>
      <c r="M37" s="17" t="str">
        <f t="shared" ca="1" si="16"/>
        <v>CT5021</v>
      </c>
      <c r="N37" s="227" t="s">
        <v>632</v>
      </c>
      <c r="O37" s="227" t="s">
        <v>695</v>
      </c>
      <c r="P37" s="227" t="s">
        <v>720</v>
      </c>
    </row>
    <row r="38" spans="1:63" x14ac:dyDescent="0.2">
      <c r="A38" s="145"/>
      <c r="B38" s="230" t="s">
        <v>50</v>
      </c>
      <c r="C38" s="230" t="s">
        <v>708</v>
      </c>
      <c r="D38" s="230" t="s">
        <v>713</v>
      </c>
      <c r="E38" s="315" t="str">
        <f t="shared" si="12"/>
        <v>CTC_XOVR_RIGHT:OME:DBL:HEAD1:GRN</v>
      </c>
      <c r="F38" s="230" t="s">
        <v>74</v>
      </c>
      <c r="G38" s="230" t="s">
        <v>783</v>
      </c>
      <c r="H38" s="230" t="s">
        <v>17</v>
      </c>
      <c r="I38" s="10">
        <f t="shared" si="17"/>
        <v>0</v>
      </c>
      <c r="J38" s="10">
        <f t="shared" si="13"/>
        <v>6</v>
      </c>
      <c r="K38" s="17" t="str">
        <f t="shared" si="14"/>
        <v>lo_DA5</v>
      </c>
      <c r="L38" s="17" t="str">
        <f t="shared" si="15"/>
        <v>CTn022</v>
      </c>
      <c r="M38" s="17" t="str">
        <f t="shared" ca="1" si="16"/>
        <v>CT5022</v>
      </c>
      <c r="N38" s="227" t="s">
        <v>633</v>
      </c>
      <c r="O38" s="227" t="s">
        <v>691</v>
      </c>
      <c r="P38" s="227" t="s">
        <v>718</v>
      </c>
    </row>
    <row r="39" spans="1:63" x14ac:dyDescent="0.2">
      <c r="A39" s="145"/>
      <c r="B39" s="230" t="s">
        <v>50</v>
      </c>
      <c r="C39" s="230" t="s">
        <v>708</v>
      </c>
      <c r="D39" s="230" t="s">
        <v>713</v>
      </c>
      <c r="E39" s="315" t="str">
        <f t="shared" si="12"/>
        <v>CTC_XOVR_RIGHT:OMW:DBL:HEAD0:RED</v>
      </c>
      <c r="F39" s="230" t="s">
        <v>74</v>
      </c>
      <c r="G39" s="230" t="s">
        <v>783</v>
      </c>
      <c r="H39" s="230" t="s">
        <v>17</v>
      </c>
      <c r="I39" s="10">
        <f t="shared" si="17"/>
        <v>0</v>
      </c>
      <c r="J39" s="10">
        <f t="shared" si="13"/>
        <v>7</v>
      </c>
      <c r="K39" s="17" t="str">
        <f t="shared" si="14"/>
        <v>lo_DA6</v>
      </c>
      <c r="L39" s="17" t="str">
        <f t="shared" si="15"/>
        <v>CTn023</v>
      </c>
      <c r="M39" s="17" t="str">
        <f t="shared" ca="1" si="16"/>
        <v>CT5023</v>
      </c>
      <c r="N39" s="227" t="s">
        <v>634</v>
      </c>
      <c r="O39" s="227" t="s">
        <v>690</v>
      </c>
      <c r="P39" s="227" t="s">
        <v>734</v>
      </c>
    </row>
    <row r="40" spans="1:63" x14ac:dyDescent="0.2">
      <c r="A40" s="145"/>
      <c r="B40" s="230" t="s">
        <v>50</v>
      </c>
      <c r="C40" s="230" t="s">
        <v>708</v>
      </c>
      <c r="D40" s="230" t="s">
        <v>713</v>
      </c>
      <c r="E40" s="315" t="str">
        <f t="shared" si="12"/>
        <v>CTC_XOVR_RIGHT:OMW:DBL:HEAD0:YEL</v>
      </c>
      <c r="F40" s="230" t="s">
        <v>74</v>
      </c>
      <c r="G40" s="230" t="s">
        <v>783</v>
      </c>
      <c r="H40" s="230" t="s">
        <v>17</v>
      </c>
      <c r="I40" s="10">
        <f t="shared" si="17"/>
        <v>0</v>
      </c>
      <c r="J40" s="10">
        <f t="shared" si="13"/>
        <v>8</v>
      </c>
      <c r="K40" s="17" t="str">
        <f t="shared" si="14"/>
        <v>lo_DA7</v>
      </c>
      <c r="L40" s="17" t="str">
        <f t="shared" si="15"/>
        <v>CTn024</v>
      </c>
      <c r="M40" s="17" t="str">
        <f t="shared" ca="1" si="16"/>
        <v>CT5024</v>
      </c>
      <c r="N40" s="227" t="s">
        <v>635</v>
      </c>
      <c r="O40" s="227" t="s">
        <v>696</v>
      </c>
      <c r="P40" s="227" t="s">
        <v>735</v>
      </c>
    </row>
    <row r="41" spans="1:63" x14ac:dyDescent="0.2">
      <c r="A41" s="145"/>
      <c r="B41" s="230" t="s">
        <v>50</v>
      </c>
      <c r="C41" s="230" t="s">
        <v>708</v>
      </c>
      <c r="D41" s="230" t="s">
        <v>713</v>
      </c>
      <c r="E41" s="315" t="str">
        <f t="shared" si="12"/>
        <v>CTC_XOVR_RIGHT:OMW:DBL:HEAD0:GRN</v>
      </c>
      <c r="F41" s="230" t="s">
        <v>74</v>
      </c>
      <c r="G41" s="230" t="s">
        <v>783</v>
      </c>
      <c r="H41" s="230" t="s">
        <v>17</v>
      </c>
      <c r="I41" s="10">
        <f t="shared" si="17"/>
        <v>0</v>
      </c>
      <c r="J41" s="10">
        <f t="shared" si="13"/>
        <v>9</v>
      </c>
      <c r="K41" s="17" t="str">
        <f t="shared" si="14"/>
        <v>lo_DB0</v>
      </c>
      <c r="L41" s="17" t="str">
        <f t="shared" si="15"/>
        <v>CTn025</v>
      </c>
      <c r="M41" s="17" t="str">
        <f t="shared" ca="1" si="16"/>
        <v>CT5025</v>
      </c>
      <c r="N41" s="227" t="s">
        <v>636</v>
      </c>
      <c r="O41" s="227" t="s">
        <v>688</v>
      </c>
      <c r="P41" s="227" t="s">
        <v>733</v>
      </c>
    </row>
    <row r="42" spans="1:63" x14ac:dyDescent="0.2">
      <c r="A42" s="145"/>
      <c r="B42" s="230" t="s">
        <v>50</v>
      </c>
      <c r="C42" s="230" t="s">
        <v>708</v>
      </c>
      <c r="D42" s="230" t="s">
        <v>713</v>
      </c>
      <c r="E42" s="315" t="str">
        <f t="shared" si="12"/>
        <v>CTC_XOVR_RIGHT:OMW:DBL:HEAD1:RED</v>
      </c>
      <c r="F42" s="230" t="s">
        <v>74</v>
      </c>
      <c r="G42" s="230" t="s">
        <v>783</v>
      </c>
      <c r="H42" s="230" t="s">
        <v>17</v>
      </c>
      <c r="I42" s="10">
        <f t="shared" si="17"/>
        <v>0</v>
      </c>
      <c r="J42" s="10">
        <f t="shared" si="13"/>
        <v>10</v>
      </c>
      <c r="K42" s="17" t="str">
        <f t="shared" si="14"/>
        <v>lo_DB1</v>
      </c>
      <c r="L42" s="17" t="str">
        <f t="shared" si="15"/>
        <v>CTn026</v>
      </c>
      <c r="M42" s="17" t="str">
        <f t="shared" ca="1" si="16"/>
        <v>CT5026</v>
      </c>
      <c r="N42" s="227" t="s">
        <v>637</v>
      </c>
      <c r="O42" s="227" t="s">
        <v>697</v>
      </c>
      <c r="P42" s="227" t="s">
        <v>731</v>
      </c>
    </row>
    <row r="43" spans="1:63" x14ac:dyDescent="0.2">
      <c r="A43" s="145"/>
      <c r="B43" s="230" t="s">
        <v>50</v>
      </c>
      <c r="C43" s="230" t="s">
        <v>708</v>
      </c>
      <c r="D43" s="230" t="s">
        <v>713</v>
      </c>
      <c r="E43" s="315" t="str">
        <f t="shared" si="12"/>
        <v>CTC_XOVR_RIGHT:OMW:DBL:HEAD1:YEL</v>
      </c>
      <c r="F43" s="230" t="s">
        <v>74</v>
      </c>
      <c r="G43" s="230" t="s">
        <v>783</v>
      </c>
      <c r="H43" s="230" t="s">
        <v>17</v>
      </c>
      <c r="I43" s="10">
        <f t="shared" si="17"/>
        <v>0</v>
      </c>
      <c r="J43" s="10">
        <f t="shared" si="13"/>
        <v>11</v>
      </c>
      <c r="K43" s="17" t="str">
        <f t="shared" si="14"/>
        <v>lo_DB2</v>
      </c>
      <c r="L43" s="17" t="str">
        <f t="shared" si="15"/>
        <v>CTn027</v>
      </c>
      <c r="M43" s="17" t="str">
        <f t="shared" ca="1" si="16"/>
        <v>CT5027</v>
      </c>
      <c r="N43" s="227" t="s">
        <v>638</v>
      </c>
      <c r="O43" s="227" t="s">
        <v>689</v>
      </c>
      <c r="P43" s="227" t="s">
        <v>732</v>
      </c>
    </row>
    <row r="44" spans="1:63" x14ac:dyDescent="0.2">
      <c r="A44" s="145"/>
      <c r="B44" s="230" t="s">
        <v>50</v>
      </c>
      <c r="C44" s="230" t="s">
        <v>708</v>
      </c>
      <c r="D44" s="230" t="s">
        <v>713</v>
      </c>
      <c r="E44" s="315" t="str">
        <f t="shared" si="12"/>
        <v>CTC_XOVR_RIGHT:OMW:DBL:HEAD1:GRN</v>
      </c>
      <c r="F44" s="230" t="s">
        <v>74</v>
      </c>
      <c r="G44" s="230" t="s">
        <v>783</v>
      </c>
      <c r="H44" s="230" t="s">
        <v>17</v>
      </c>
      <c r="I44" s="10">
        <f t="shared" si="17"/>
        <v>0</v>
      </c>
      <c r="J44" s="10">
        <f t="shared" si="13"/>
        <v>12</v>
      </c>
      <c r="K44" s="17" t="str">
        <f t="shared" si="14"/>
        <v>lo_DB3</v>
      </c>
      <c r="L44" s="17" t="str">
        <f t="shared" si="15"/>
        <v>CTn028</v>
      </c>
      <c r="M44" s="17" t="str">
        <f t="shared" ca="1" si="16"/>
        <v>CT5028</v>
      </c>
      <c r="N44" s="227" t="s">
        <v>639</v>
      </c>
      <c r="O44" s="227" t="s">
        <v>692</v>
      </c>
      <c r="P44" s="227" t="s">
        <v>730</v>
      </c>
    </row>
    <row r="45" spans="1:63" x14ac:dyDescent="0.2">
      <c r="A45" s="145"/>
      <c r="B45" s="230" t="s">
        <v>50</v>
      </c>
      <c r="C45" s="230" t="s">
        <v>708</v>
      </c>
      <c r="D45" s="230" t="s">
        <v>712</v>
      </c>
      <c r="E45" s="315" t="str">
        <f t="shared" si="12"/>
        <v>CTC_XOVR_RIGHT:TO_SRC</v>
      </c>
      <c r="F45" s="230" t="s">
        <v>74</v>
      </c>
      <c r="G45" s="230" t="s">
        <v>782</v>
      </c>
      <c r="H45" s="230" t="s">
        <v>17</v>
      </c>
      <c r="I45" s="10">
        <f t="shared" si="17"/>
        <v>0</v>
      </c>
      <c r="J45" s="10">
        <f t="shared" si="13"/>
        <v>13</v>
      </c>
      <c r="K45" s="17" t="str">
        <f t="shared" si="14"/>
        <v>lo_DB4</v>
      </c>
      <c r="L45" s="17" t="str">
        <f t="shared" si="15"/>
        <v>CTn029</v>
      </c>
      <c r="M45" s="17" t="str">
        <f t="shared" ca="1" si="16"/>
        <v>CT5029</v>
      </c>
      <c r="N45" s="227" t="s">
        <v>801</v>
      </c>
      <c r="O45" s="227"/>
      <c r="P45" s="227" t="s">
        <v>795</v>
      </c>
    </row>
    <row r="46" spans="1:63" x14ac:dyDescent="0.2">
      <c r="A46" s="145"/>
      <c r="B46" s="230" t="s">
        <v>50</v>
      </c>
      <c r="C46" s="230" t="s">
        <v>708</v>
      </c>
      <c r="D46" s="230" t="s">
        <v>791</v>
      </c>
      <c r="E46" s="315" t="str">
        <f>IF(P46="-",P46,_xlfn.CONCAT(C46,":",P46))</f>
        <v>CTC_XOVR_RIGHT:TO_TULO</v>
      </c>
      <c r="F46" s="230" t="s">
        <v>74</v>
      </c>
      <c r="G46" s="230" t="s">
        <v>782</v>
      </c>
      <c r="H46" s="230" t="s">
        <v>17</v>
      </c>
      <c r="I46" s="10">
        <f t="shared" si="17"/>
        <v>0</v>
      </c>
      <c r="J46" s="10">
        <f t="shared" si="13"/>
        <v>14</v>
      </c>
      <c r="K46" s="17" t="str">
        <f t="shared" si="14"/>
        <v>lo_DB5</v>
      </c>
      <c r="L46" s="17" t="str">
        <f t="shared" si="15"/>
        <v>CTn030</v>
      </c>
      <c r="M46" s="17" t="str">
        <f t="shared" ca="1" si="16"/>
        <v>CT5030</v>
      </c>
      <c r="N46" s="227" t="s">
        <v>797</v>
      </c>
      <c r="O46" s="227"/>
      <c r="P46" s="227" t="s">
        <v>796</v>
      </c>
    </row>
    <row r="47" spans="1:63" x14ac:dyDescent="0.2">
      <c r="A47" s="145"/>
      <c r="B47" s="230" t="s">
        <v>50</v>
      </c>
      <c r="C47" s="230" t="s">
        <v>135</v>
      </c>
      <c r="D47" s="230" t="s">
        <v>135</v>
      </c>
      <c r="E47" s="315" t="str">
        <f t="shared" si="12"/>
        <v>-</v>
      </c>
      <c r="F47" s="230" t="s">
        <v>74</v>
      </c>
      <c r="G47" s="230"/>
      <c r="H47" s="230" t="s">
        <v>17</v>
      </c>
      <c r="I47" s="10">
        <f t="shared" si="17"/>
        <v>0</v>
      </c>
      <c r="J47" s="10">
        <f t="shared" si="13"/>
        <v>15</v>
      </c>
      <c r="K47" s="17" t="str">
        <f t="shared" si="14"/>
        <v>lo_DB6</v>
      </c>
      <c r="L47" s="17" t="str">
        <f t="shared" si="15"/>
        <v>CTn031</v>
      </c>
      <c r="M47" s="17" t="str">
        <f t="shared" ca="1" si="16"/>
        <v>CT5031</v>
      </c>
      <c r="N47" s="227"/>
      <c r="O47" s="227"/>
      <c r="P47" s="227" t="s">
        <v>74</v>
      </c>
    </row>
    <row r="48" spans="1:63" x14ac:dyDescent="0.2">
      <c r="A48" s="145"/>
      <c r="B48" s="230" t="s">
        <v>50</v>
      </c>
      <c r="C48" s="230" t="s">
        <v>135</v>
      </c>
      <c r="D48" s="230" t="s">
        <v>135</v>
      </c>
      <c r="E48" s="315" t="str">
        <f t="shared" si="12"/>
        <v>-</v>
      </c>
      <c r="F48" s="230" t="s">
        <v>74</v>
      </c>
      <c r="G48" s="230"/>
      <c r="H48" s="230" t="s">
        <v>17</v>
      </c>
      <c r="I48" s="10">
        <f t="shared" si="17"/>
        <v>0</v>
      </c>
      <c r="J48" s="10">
        <f t="shared" si="13"/>
        <v>16</v>
      </c>
      <c r="K48" s="17" t="str">
        <f t="shared" si="14"/>
        <v>lo_DB7</v>
      </c>
      <c r="L48" s="17" t="str">
        <f t="shared" si="15"/>
        <v>CTn032</v>
      </c>
      <c r="M48" s="17" t="str">
        <f t="shared" ca="1" si="16"/>
        <v>CT5032</v>
      </c>
      <c r="N48" s="227"/>
      <c r="O48" s="227"/>
      <c r="P48" s="227" t="s">
        <v>74</v>
      </c>
    </row>
    <row r="49" spans="1:16" x14ac:dyDescent="0.2">
      <c r="A49" s="145"/>
      <c r="B49" s="230" t="s">
        <v>50</v>
      </c>
      <c r="C49" s="230" t="s">
        <v>708</v>
      </c>
      <c r="D49" s="230" t="s">
        <v>713</v>
      </c>
      <c r="E49" s="315" t="str">
        <f t="shared" ref="E49:E80" si="19">IF(P49="-",P49,_xlfn.CONCAT(C49,":",P49))</f>
        <v>CTC_XOVR_RIGHT:IME:DBL:HEAD0:RED</v>
      </c>
      <c r="F49" s="230" t="s">
        <v>74</v>
      </c>
      <c r="G49" s="230" t="s">
        <v>783</v>
      </c>
      <c r="H49" s="230" t="s">
        <v>17</v>
      </c>
      <c r="I49" s="10">
        <f t="shared" si="17"/>
        <v>0</v>
      </c>
      <c r="J49" s="10">
        <f t="shared" si="13"/>
        <v>17</v>
      </c>
      <c r="K49" s="17" t="str">
        <f t="shared" si="14"/>
        <v>hi_DA0</v>
      </c>
      <c r="L49" s="17" t="str">
        <f t="shared" si="15"/>
        <v>CTn033</v>
      </c>
      <c r="M49" s="17" t="str">
        <f t="shared" ca="1" si="16"/>
        <v>CT5033</v>
      </c>
      <c r="N49" s="227" t="s">
        <v>640</v>
      </c>
      <c r="O49" s="227" t="s">
        <v>689</v>
      </c>
      <c r="P49" s="227" t="s">
        <v>765</v>
      </c>
    </row>
    <row r="50" spans="1:16" x14ac:dyDescent="0.2">
      <c r="A50" s="145"/>
      <c r="B50" s="230" t="s">
        <v>50</v>
      </c>
      <c r="C50" s="230" t="s">
        <v>708</v>
      </c>
      <c r="D50" s="230" t="s">
        <v>713</v>
      </c>
      <c r="E50" s="315" t="str">
        <f t="shared" si="19"/>
        <v>CTC_XOVR_RIGHT:IME:DBL:HEAD0:YEL</v>
      </c>
      <c r="F50" s="230" t="s">
        <v>74</v>
      </c>
      <c r="G50" s="230" t="s">
        <v>783</v>
      </c>
      <c r="H50" s="230" t="s">
        <v>17</v>
      </c>
      <c r="I50" s="10">
        <f t="shared" si="17"/>
        <v>0</v>
      </c>
      <c r="J50" s="10">
        <f t="shared" si="13"/>
        <v>18</v>
      </c>
      <c r="K50" s="17" t="str">
        <f t="shared" si="14"/>
        <v>hi_DA1</v>
      </c>
      <c r="L50" s="17" t="str">
        <f t="shared" si="15"/>
        <v>CTn034</v>
      </c>
      <c r="M50" s="17" t="str">
        <f t="shared" ca="1" si="16"/>
        <v>CT5034</v>
      </c>
      <c r="N50" s="227" t="s">
        <v>641</v>
      </c>
      <c r="O50" s="227" t="s">
        <v>692</v>
      </c>
      <c r="P50" s="227" t="s">
        <v>766</v>
      </c>
    </row>
    <row r="51" spans="1:16" x14ac:dyDescent="0.2">
      <c r="A51" s="145"/>
      <c r="B51" s="230" t="s">
        <v>50</v>
      </c>
      <c r="C51" s="230" t="s">
        <v>708</v>
      </c>
      <c r="D51" s="230" t="s">
        <v>713</v>
      </c>
      <c r="E51" s="315" t="str">
        <f t="shared" si="19"/>
        <v>CTC_XOVR_RIGHT:IME:DBL:HEAD0:GRN</v>
      </c>
      <c r="F51" s="230" t="s">
        <v>74</v>
      </c>
      <c r="G51" s="230" t="s">
        <v>783</v>
      </c>
      <c r="H51" s="230" t="s">
        <v>17</v>
      </c>
      <c r="I51" s="10">
        <f t="shared" si="17"/>
        <v>0</v>
      </c>
      <c r="J51" s="10">
        <f t="shared" si="13"/>
        <v>19</v>
      </c>
      <c r="K51" s="17" t="str">
        <f t="shared" si="14"/>
        <v>hi_DA2</v>
      </c>
      <c r="L51" s="17" t="str">
        <f t="shared" si="15"/>
        <v>CTn035</v>
      </c>
      <c r="M51" s="17" t="str">
        <f t="shared" ca="1" si="16"/>
        <v>CT5035</v>
      </c>
      <c r="N51" s="227" t="s">
        <v>642</v>
      </c>
      <c r="O51" s="227" t="s">
        <v>693</v>
      </c>
      <c r="P51" s="227" t="s">
        <v>764</v>
      </c>
    </row>
    <row r="52" spans="1:16" x14ac:dyDescent="0.2">
      <c r="A52" s="145"/>
      <c r="B52" s="230" t="s">
        <v>50</v>
      </c>
      <c r="C52" s="230" t="s">
        <v>708</v>
      </c>
      <c r="D52" s="230" t="s">
        <v>713</v>
      </c>
      <c r="E52" s="315" t="str">
        <f t="shared" si="19"/>
        <v>CTC_XOVR_RIGHT:IME:DBL:HEAD1:RED</v>
      </c>
      <c r="F52" s="230" t="s">
        <v>74</v>
      </c>
      <c r="G52" s="230" t="s">
        <v>783</v>
      </c>
      <c r="H52" s="230" t="s">
        <v>17</v>
      </c>
      <c r="I52" s="10">
        <f t="shared" si="17"/>
        <v>0</v>
      </c>
      <c r="J52" s="10">
        <f t="shared" si="13"/>
        <v>20</v>
      </c>
      <c r="K52" s="17" t="str">
        <f t="shared" si="14"/>
        <v>hi_DA3</v>
      </c>
      <c r="L52" s="17" t="str">
        <f t="shared" si="15"/>
        <v>CTn036</v>
      </c>
      <c r="M52" s="17" t="str">
        <f t="shared" ca="1" si="16"/>
        <v>CT5036</v>
      </c>
      <c r="N52" s="227" t="s">
        <v>643</v>
      </c>
      <c r="O52" s="227" t="s">
        <v>694</v>
      </c>
      <c r="P52" s="227" t="s">
        <v>762</v>
      </c>
    </row>
    <row r="53" spans="1:16" x14ac:dyDescent="0.2">
      <c r="A53" s="145"/>
      <c r="B53" s="230" t="s">
        <v>50</v>
      </c>
      <c r="C53" s="230" t="s">
        <v>708</v>
      </c>
      <c r="D53" s="230" t="s">
        <v>713</v>
      </c>
      <c r="E53" s="315" t="str">
        <f t="shared" si="19"/>
        <v>CTC_XOVR_RIGHT:IME:DBL:HEAD1:YEL</v>
      </c>
      <c r="F53" s="230" t="s">
        <v>74</v>
      </c>
      <c r="G53" s="230" t="s">
        <v>783</v>
      </c>
      <c r="H53" s="230" t="s">
        <v>17</v>
      </c>
      <c r="I53" s="10">
        <f t="shared" si="17"/>
        <v>0</v>
      </c>
      <c r="J53" s="10">
        <f t="shared" si="13"/>
        <v>21</v>
      </c>
      <c r="K53" s="17" t="str">
        <f t="shared" si="14"/>
        <v>hi_DA4</v>
      </c>
      <c r="L53" s="17" t="str">
        <f t="shared" si="15"/>
        <v>CSn037</v>
      </c>
      <c r="M53" s="17" t="str">
        <f t="shared" ca="1" si="16"/>
        <v>CS5037</v>
      </c>
      <c r="N53" s="227" t="s">
        <v>644</v>
      </c>
      <c r="O53" s="227" t="s">
        <v>695</v>
      </c>
      <c r="P53" s="227" t="s">
        <v>763</v>
      </c>
    </row>
    <row r="54" spans="1:16" x14ac:dyDescent="0.2">
      <c r="A54" s="145"/>
      <c r="B54" s="230" t="s">
        <v>50</v>
      </c>
      <c r="C54" s="230" t="s">
        <v>708</v>
      </c>
      <c r="D54" s="230" t="s">
        <v>713</v>
      </c>
      <c r="E54" s="315" t="str">
        <f t="shared" si="19"/>
        <v>CTC_XOVR_RIGHT:IME:DBL:HEAD1:GRN</v>
      </c>
      <c r="F54" s="230" t="s">
        <v>74</v>
      </c>
      <c r="G54" s="230" t="s">
        <v>783</v>
      </c>
      <c r="H54" s="230" t="s">
        <v>17</v>
      </c>
      <c r="I54" s="10">
        <f t="shared" si="17"/>
        <v>0</v>
      </c>
      <c r="J54" s="10">
        <f t="shared" si="13"/>
        <v>22</v>
      </c>
      <c r="K54" s="17" t="str">
        <f t="shared" si="14"/>
        <v>hi_DA5</v>
      </c>
      <c r="L54" s="17" t="str">
        <f t="shared" si="15"/>
        <v>CTn038</v>
      </c>
      <c r="M54" s="17" t="str">
        <f t="shared" ca="1" si="16"/>
        <v>CT5038</v>
      </c>
      <c r="N54" s="227" t="s">
        <v>645</v>
      </c>
      <c r="O54" s="227" t="s">
        <v>691</v>
      </c>
      <c r="P54" s="227" t="s">
        <v>761</v>
      </c>
    </row>
    <row r="55" spans="1:16" x14ac:dyDescent="0.2">
      <c r="A55" s="145"/>
      <c r="B55" s="230" t="s">
        <v>50</v>
      </c>
      <c r="C55" s="230" t="s">
        <v>708</v>
      </c>
      <c r="D55" s="230" t="s">
        <v>713</v>
      </c>
      <c r="E55" s="315" t="str">
        <f t="shared" si="19"/>
        <v>CTC_XOVR_RIGHT:IMW:DBL:HEAD0:RED</v>
      </c>
      <c r="F55" s="230" t="s">
        <v>74</v>
      </c>
      <c r="G55" s="230" t="s">
        <v>783</v>
      </c>
      <c r="H55" s="230" t="s">
        <v>17</v>
      </c>
      <c r="I55" s="10">
        <f t="shared" si="17"/>
        <v>0</v>
      </c>
      <c r="J55" s="10">
        <f t="shared" si="13"/>
        <v>23</v>
      </c>
      <c r="K55" s="17" t="str">
        <f t="shared" si="14"/>
        <v>hi_DA6</v>
      </c>
      <c r="L55" s="17" t="str">
        <f t="shared" si="15"/>
        <v>CTn039</v>
      </c>
      <c r="M55" s="17" t="str">
        <f t="shared" ca="1" si="16"/>
        <v>CT5039</v>
      </c>
      <c r="N55" s="227" t="s">
        <v>646</v>
      </c>
      <c r="O55" s="227" t="s">
        <v>690</v>
      </c>
      <c r="P55" s="227" t="s">
        <v>750</v>
      </c>
    </row>
    <row r="56" spans="1:16" x14ac:dyDescent="0.2">
      <c r="A56" s="145"/>
      <c r="B56" s="230" t="s">
        <v>50</v>
      </c>
      <c r="C56" s="230" t="s">
        <v>708</v>
      </c>
      <c r="D56" s="230" t="s">
        <v>713</v>
      </c>
      <c r="E56" s="315" t="str">
        <f t="shared" si="19"/>
        <v>CTC_XOVR_RIGHT:IMW:DBL:HEAD0:YEL</v>
      </c>
      <c r="F56" s="230" t="s">
        <v>74</v>
      </c>
      <c r="G56" s="230" t="s">
        <v>783</v>
      </c>
      <c r="H56" s="230" t="s">
        <v>17</v>
      </c>
      <c r="I56" s="10">
        <f t="shared" si="17"/>
        <v>0</v>
      </c>
      <c r="J56" s="10">
        <f t="shared" si="13"/>
        <v>24</v>
      </c>
      <c r="K56" s="17" t="str">
        <f t="shared" si="14"/>
        <v>hi_DA7</v>
      </c>
      <c r="L56" s="17" t="str">
        <f t="shared" si="15"/>
        <v>CTn040</v>
      </c>
      <c r="M56" s="17" t="str">
        <f t="shared" ca="1" si="16"/>
        <v>CT5040</v>
      </c>
      <c r="N56" s="227" t="s">
        <v>647</v>
      </c>
      <c r="O56" s="227" t="s">
        <v>696</v>
      </c>
      <c r="P56" s="227" t="s">
        <v>751</v>
      </c>
    </row>
    <row r="57" spans="1:16" x14ac:dyDescent="0.2">
      <c r="A57" s="145"/>
      <c r="B57" s="230" t="s">
        <v>50</v>
      </c>
      <c r="C57" s="230" t="s">
        <v>708</v>
      </c>
      <c r="D57" s="230" t="s">
        <v>713</v>
      </c>
      <c r="E57" s="315" t="str">
        <f t="shared" si="19"/>
        <v>CTC_XOVR_RIGHT:IMW:DBL:HEAD0:GRN</v>
      </c>
      <c r="F57" s="230" t="s">
        <v>74</v>
      </c>
      <c r="G57" s="230" t="s">
        <v>783</v>
      </c>
      <c r="H57" s="230" t="s">
        <v>17</v>
      </c>
      <c r="I57" s="10">
        <f t="shared" si="17"/>
        <v>0</v>
      </c>
      <c r="J57" s="10">
        <f t="shared" si="13"/>
        <v>25</v>
      </c>
      <c r="K57" s="17" t="str">
        <f t="shared" si="14"/>
        <v>hi_DB0</v>
      </c>
      <c r="L57" s="17" t="str">
        <f t="shared" si="15"/>
        <v>CTn041</v>
      </c>
      <c r="M57" s="17" t="str">
        <f t="shared" ca="1" si="16"/>
        <v>CT5041</v>
      </c>
      <c r="N57" s="227" t="s">
        <v>648</v>
      </c>
      <c r="O57" s="227" t="s">
        <v>688</v>
      </c>
      <c r="P57" s="227" t="s">
        <v>749</v>
      </c>
    </row>
    <row r="58" spans="1:16" x14ac:dyDescent="0.2">
      <c r="A58" s="145"/>
      <c r="B58" s="230" t="s">
        <v>50</v>
      </c>
      <c r="C58" s="230" t="s">
        <v>708</v>
      </c>
      <c r="D58" s="230" t="s">
        <v>713</v>
      </c>
      <c r="E58" s="315" t="str">
        <f t="shared" si="19"/>
        <v>CTC_XOVR_RIGHT:IMW:DBL:HEAD1:RED</v>
      </c>
      <c r="F58" s="230" t="s">
        <v>74</v>
      </c>
      <c r="G58" s="230" t="s">
        <v>783</v>
      </c>
      <c r="H58" s="230" t="s">
        <v>17</v>
      </c>
      <c r="I58" s="10">
        <f t="shared" si="17"/>
        <v>0</v>
      </c>
      <c r="J58" s="10">
        <f t="shared" si="13"/>
        <v>26</v>
      </c>
      <c r="K58" s="17" t="str">
        <f t="shared" si="14"/>
        <v>hi_DB1</v>
      </c>
      <c r="L58" s="17" t="str">
        <f t="shared" si="15"/>
        <v>CTn042</v>
      </c>
      <c r="M58" s="17" t="str">
        <f t="shared" ca="1" si="16"/>
        <v>CT5042</v>
      </c>
      <c r="N58" s="227" t="s">
        <v>649</v>
      </c>
      <c r="O58" s="227" t="s">
        <v>697</v>
      </c>
      <c r="P58" s="227" t="s">
        <v>747</v>
      </c>
    </row>
    <row r="59" spans="1:16" x14ac:dyDescent="0.2">
      <c r="A59" s="145"/>
      <c r="B59" s="230" t="s">
        <v>50</v>
      </c>
      <c r="C59" s="230" t="s">
        <v>708</v>
      </c>
      <c r="D59" s="230" t="s">
        <v>713</v>
      </c>
      <c r="E59" s="315" t="str">
        <f t="shared" si="19"/>
        <v>CTC_XOVR_RIGHT:IMW:DBL:HEAD1:YEL</v>
      </c>
      <c r="F59" s="230" t="s">
        <v>74</v>
      </c>
      <c r="G59" s="230" t="s">
        <v>783</v>
      </c>
      <c r="H59" s="230" t="s">
        <v>17</v>
      </c>
      <c r="I59" s="10">
        <f t="shared" si="17"/>
        <v>0</v>
      </c>
      <c r="J59" s="10">
        <f t="shared" si="13"/>
        <v>27</v>
      </c>
      <c r="K59" s="17" t="str">
        <f t="shared" si="14"/>
        <v>hi_DB2</v>
      </c>
      <c r="L59" s="17" t="str">
        <f t="shared" si="15"/>
        <v>CTn043</v>
      </c>
      <c r="M59" s="17" t="str">
        <f t="shared" ca="1" si="16"/>
        <v>CT5043</v>
      </c>
      <c r="N59" s="227" t="s">
        <v>650</v>
      </c>
      <c r="O59" s="227" t="s">
        <v>689</v>
      </c>
      <c r="P59" s="227" t="s">
        <v>748</v>
      </c>
    </row>
    <row r="60" spans="1:16" x14ac:dyDescent="0.2">
      <c r="A60" s="145"/>
      <c r="B60" s="230" t="s">
        <v>50</v>
      </c>
      <c r="C60" s="230" t="s">
        <v>708</v>
      </c>
      <c r="D60" s="230" t="s">
        <v>713</v>
      </c>
      <c r="E60" s="315" t="str">
        <f t="shared" si="19"/>
        <v>CTC_XOVR_RIGHT:IMW:DBL:HEAD1:GRN</v>
      </c>
      <c r="F60" s="230" t="s">
        <v>74</v>
      </c>
      <c r="G60" s="230" t="s">
        <v>783</v>
      </c>
      <c r="H60" s="230" t="s">
        <v>17</v>
      </c>
      <c r="I60" s="10">
        <f t="shared" si="17"/>
        <v>0</v>
      </c>
      <c r="J60" s="10">
        <f t="shared" si="13"/>
        <v>28</v>
      </c>
      <c r="K60" s="17" t="str">
        <f t="shared" si="14"/>
        <v>hi_DB3</v>
      </c>
      <c r="L60" s="17" t="str">
        <f t="shared" si="15"/>
        <v>CTn044</v>
      </c>
      <c r="M60" s="17" t="str">
        <f t="shared" ca="1" si="16"/>
        <v>CT5044</v>
      </c>
      <c r="N60" s="227" t="s">
        <v>651</v>
      </c>
      <c r="O60" s="227" t="s">
        <v>692</v>
      </c>
      <c r="P60" s="227" t="s">
        <v>746</v>
      </c>
    </row>
    <row r="61" spans="1:16" x14ac:dyDescent="0.2">
      <c r="A61" s="145"/>
      <c r="B61" s="230" t="s">
        <v>50</v>
      </c>
      <c r="C61" s="230" t="s">
        <v>135</v>
      </c>
      <c r="D61" s="230" t="s">
        <v>135</v>
      </c>
      <c r="E61" s="315" t="str">
        <f t="shared" si="19"/>
        <v>-</v>
      </c>
      <c r="F61" s="230" t="s">
        <v>74</v>
      </c>
      <c r="G61" s="230"/>
      <c r="H61" s="230" t="s">
        <v>17</v>
      </c>
      <c r="I61" s="10">
        <f t="shared" si="17"/>
        <v>0</v>
      </c>
      <c r="J61" s="10">
        <f t="shared" si="13"/>
        <v>29</v>
      </c>
      <c r="K61" s="17" t="str">
        <f t="shared" si="14"/>
        <v>hi_DB4</v>
      </c>
      <c r="L61" s="17" t="str">
        <f t="shared" si="15"/>
        <v>CTn045</v>
      </c>
      <c r="M61" s="17" t="str">
        <f t="shared" ca="1" si="16"/>
        <v>CT5045</v>
      </c>
      <c r="N61" s="227"/>
      <c r="O61" s="227"/>
      <c r="P61" s="227" t="s">
        <v>74</v>
      </c>
    </row>
    <row r="62" spans="1:16" x14ac:dyDescent="0.2">
      <c r="A62" s="145"/>
      <c r="B62" s="230" t="s">
        <v>50</v>
      </c>
      <c r="C62" s="230" t="s">
        <v>135</v>
      </c>
      <c r="D62" s="230" t="s">
        <v>135</v>
      </c>
      <c r="E62" s="315" t="str">
        <f t="shared" si="19"/>
        <v>-</v>
      </c>
      <c r="F62" s="230" t="s">
        <v>74</v>
      </c>
      <c r="G62" s="230"/>
      <c r="H62" s="230" t="s">
        <v>17</v>
      </c>
      <c r="I62" s="10">
        <f t="shared" si="17"/>
        <v>0</v>
      </c>
      <c r="J62" s="10">
        <f t="shared" si="13"/>
        <v>30</v>
      </c>
      <c r="K62" s="17" t="str">
        <f t="shared" si="14"/>
        <v>hi_DB5</v>
      </c>
      <c r="L62" s="17" t="str">
        <f t="shared" si="15"/>
        <v>CTn046</v>
      </c>
      <c r="M62" s="17" t="str">
        <f t="shared" ca="1" si="16"/>
        <v>CT5046</v>
      </c>
      <c r="N62" s="227"/>
      <c r="O62" s="227"/>
      <c r="P62" s="227" t="s">
        <v>74</v>
      </c>
    </row>
    <row r="63" spans="1:16" x14ac:dyDescent="0.2">
      <c r="A63" s="145"/>
      <c r="B63" s="230" t="s">
        <v>50</v>
      </c>
      <c r="C63" s="230" t="s">
        <v>135</v>
      </c>
      <c r="D63" s="230" t="s">
        <v>135</v>
      </c>
      <c r="E63" s="315" t="str">
        <f t="shared" si="19"/>
        <v>-</v>
      </c>
      <c r="F63" s="230" t="s">
        <v>74</v>
      </c>
      <c r="G63" s="230"/>
      <c r="H63" s="230" t="s">
        <v>17</v>
      </c>
      <c r="I63" s="10">
        <f t="shared" si="17"/>
        <v>0</v>
      </c>
      <c r="J63" s="10">
        <f t="shared" si="13"/>
        <v>31</v>
      </c>
      <c r="K63" s="17" t="str">
        <f t="shared" si="14"/>
        <v>hi_DB6</v>
      </c>
      <c r="L63" s="17" t="str">
        <f t="shared" si="15"/>
        <v>CTn047</v>
      </c>
      <c r="M63" s="17" t="str">
        <f t="shared" ca="1" si="16"/>
        <v>CT5047</v>
      </c>
      <c r="N63" s="227"/>
      <c r="O63" s="227"/>
      <c r="P63" s="227" t="s">
        <v>74</v>
      </c>
    </row>
    <row r="64" spans="1:16" ht="16" thickBot="1" x14ac:dyDescent="0.25">
      <c r="A64" s="146"/>
      <c r="B64" s="137" t="s">
        <v>50</v>
      </c>
      <c r="C64" s="137" t="s">
        <v>135</v>
      </c>
      <c r="D64" s="137" t="s">
        <v>135</v>
      </c>
      <c r="E64" s="317" t="str">
        <f t="shared" si="19"/>
        <v>-</v>
      </c>
      <c r="F64" s="137" t="s">
        <v>74</v>
      </c>
      <c r="G64" s="137"/>
      <c r="H64" s="137" t="s">
        <v>17</v>
      </c>
      <c r="I64" s="12">
        <f t="shared" si="17"/>
        <v>0</v>
      </c>
      <c r="J64" s="12">
        <f t="shared" si="13"/>
        <v>32</v>
      </c>
      <c r="K64" s="18" t="str">
        <f t="shared" si="14"/>
        <v>hi_DB7</v>
      </c>
      <c r="L64" s="18" t="str">
        <f t="shared" si="15"/>
        <v>CTn048</v>
      </c>
      <c r="M64" s="18" t="str">
        <f t="shared" ca="1" si="16"/>
        <v>CT5048</v>
      </c>
      <c r="N64" s="228"/>
      <c r="O64" s="228"/>
      <c r="P64" s="228" t="s">
        <v>74</v>
      </c>
    </row>
    <row r="65" spans="1:16" x14ac:dyDescent="0.2">
      <c r="A65" s="149"/>
      <c r="B65" s="231" t="s">
        <v>50</v>
      </c>
      <c r="C65" s="232" t="s">
        <v>135</v>
      </c>
      <c r="D65" s="232" t="s">
        <v>135</v>
      </c>
      <c r="E65" s="318" t="str">
        <f t="shared" si="19"/>
        <v>-</v>
      </c>
      <c r="F65" s="232" t="s">
        <v>74</v>
      </c>
      <c r="G65" s="325"/>
      <c r="H65" s="232" t="s">
        <v>74</v>
      </c>
      <c r="I65" s="29">
        <f t="shared" si="17"/>
        <v>0</v>
      </c>
      <c r="J65" s="11">
        <v>1</v>
      </c>
      <c r="K65" s="20" t="e">
        <f t="shared" si="14"/>
        <v>#N/A</v>
      </c>
      <c r="L65" s="20" t="e">
        <f t="shared" si="15"/>
        <v>#N/A</v>
      </c>
      <c r="M65" s="20" t="e">
        <f t="shared" ca="1" si="16"/>
        <v>#N/A</v>
      </c>
      <c r="N65" s="229"/>
      <c r="O65" s="229"/>
      <c r="P65" s="229" t="s">
        <v>74</v>
      </c>
    </row>
    <row r="66" spans="1:16" x14ac:dyDescent="0.2">
      <c r="A66" s="147"/>
      <c r="B66" s="152" t="s">
        <v>50</v>
      </c>
      <c r="C66" s="230" t="s">
        <v>135</v>
      </c>
      <c r="D66" s="230" t="s">
        <v>135</v>
      </c>
      <c r="E66" s="315" t="str">
        <f t="shared" si="19"/>
        <v>-</v>
      </c>
      <c r="F66" s="230" t="s">
        <v>74</v>
      </c>
      <c r="G66" s="230"/>
      <c r="H66" s="230" t="s">
        <v>74</v>
      </c>
      <c r="I66" s="10">
        <f t="shared" si="17"/>
        <v>0</v>
      </c>
      <c r="J66" s="6">
        <f t="shared" ref="J66:J96" si="20">IF(AND(H66=H65,B66=B65), J65+1,1)</f>
        <v>2</v>
      </c>
      <c r="K66" s="16" t="e">
        <f t="shared" si="14"/>
        <v>#N/A</v>
      </c>
      <c r="L66" s="16" t="e">
        <f t="shared" si="15"/>
        <v>#N/A</v>
      </c>
      <c r="M66" s="16" t="e">
        <f t="shared" ca="1" si="16"/>
        <v>#N/A</v>
      </c>
      <c r="N66" s="227"/>
      <c r="O66" s="227"/>
      <c r="P66" s="227" t="s">
        <v>74</v>
      </c>
    </row>
    <row r="67" spans="1:16" x14ac:dyDescent="0.2">
      <c r="A67" s="147"/>
      <c r="B67" s="152" t="s">
        <v>50</v>
      </c>
      <c r="C67" s="230" t="s">
        <v>135</v>
      </c>
      <c r="D67" s="230" t="s">
        <v>135</v>
      </c>
      <c r="E67" s="315" t="str">
        <f t="shared" si="19"/>
        <v>-</v>
      </c>
      <c r="F67" s="230" t="s">
        <v>74</v>
      </c>
      <c r="G67" s="230"/>
      <c r="H67" s="230" t="s">
        <v>74</v>
      </c>
      <c r="I67" s="10">
        <f t="shared" si="17"/>
        <v>0</v>
      </c>
      <c r="J67" s="6">
        <f t="shared" si="20"/>
        <v>3</v>
      </c>
      <c r="K67" s="16" t="e">
        <f t="shared" si="14"/>
        <v>#N/A</v>
      </c>
      <c r="L67" s="16" t="e">
        <f t="shared" si="15"/>
        <v>#N/A</v>
      </c>
      <c r="M67" s="16" t="e">
        <f t="shared" ca="1" si="16"/>
        <v>#N/A</v>
      </c>
      <c r="N67" s="227"/>
      <c r="O67" s="227"/>
      <c r="P67" s="227" t="s">
        <v>74</v>
      </c>
    </row>
    <row r="68" spans="1:16" x14ac:dyDescent="0.2">
      <c r="A68" s="147"/>
      <c r="B68" s="152" t="s">
        <v>50</v>
      </c>
      <c r="C68" s="230" t="s">
        <v>135</v>
      </c>
      <c r="D68" s="230" t="s">
        <v>135</v>
      </c>
      <c r="E68" s="315" t="str">
        <f t="shared" si="19"/>
        <v>-</v>
      </c>
      <c r="F68" s="230" t="s">
        <v>74</v>
      </c>
      <c r="G68" s="230"/>
      <c r="H68" s="230" t="s">
        <v>74</v>
      </c>
      <c r="I68" s="10">
        <f t="shared" si="17"/>
        <v>0</v>
      </c>
      <c r="J68" s="6">
        <f t="shared" si="20"/>
        <v>4</v>
      </c>
      <c r="K68" s="16" t="e">
        <f t="shared" si="14"/>
        <v>#N/A</v>
      </c>
      <c r="L68" s="16" t="e">
        <f t="shared" si="15"/>
        <v>#N/A</v>
      </c>
      <c r="M68" s="16" t="e">
        <f t="shared" ca="1" si="16"/>
        <v>#N/A</v>
      </c>
      <c r="N68" s="227"/>
      <c r="O68" s="227"/>
      <c r="P68" s="227" t="s">
        <v>74</v>
      </c>
    </row>
    <row r="69" spans="1:16" x14ac:dyDescent="0.2">
      <c r="A69" s="147"/>
      <c r="B69" s="152" t="s">
        <v>50</v>
      </c>
      <c r="C69" s="230" t="s">
        <v>135</v>
      </c>
      <c r="D69" s="230" t="s">
        <v>135</v>
      </c>
      <c r="E69" s="315" t="str">
        <f t="shared" si="19"/>
        <v>-</v>
      </c>
      <c r="F69" s="230" t="s">
        <v>74</v>
      </c>
      <c r="G69" s="230"/>
      <c r="H69" s="230" t="s">
        <v>74</v>
      </c>
      <c r="I69" s="10">
        <f t="shared" si="17"/>
        <v>0</v>
      </c>
      <c r="J69" s="10">
        <f t="shared" si="20"/>
        <v>5</v>
      </c>
      <c r="K69" s="17" t="e">
        <f t="shared" si="14"/>
        <v>#N/A</v>
      </c>
      <c r="L69" s="17" t="e">
        <f t="shared" si="15"/>
        <v>#N/A</v>
      </c>
      <c r="M69" s="17" t="e">
        <f t="shared" ca="1" si="16"/>
        <v>#N/A</v>
      </c>
      <c r="N69" s="227"/>
      <c r="O69" s="227"/>
      <c r="P69" s="227" t="s">
        <v>74</v>
      </c>
    </row>
    <row r="70" spans="1:16" x14ac:dyDescent="0.2">
      <c r="A70" s="147"/>
      <c r="B70" s="152" t="s">
        <v>50</v>
      </c>
      <c r="C70" s="230" t="s">
        <v>135</v>
      </c>
      <c r="D70" s="230" t="s">
        <v>135</v>
      </c>
      <c r="E70" s="315" t="str">
        <f t="shared" si="19"/>
        <v>-</v>
      </c>
      <c r="F70" s="230" t="s">
        <v>74</v>
      </c>
      <c r="G70" s="230"/>
      <c r="H70" s="230" t="s">
        <v>74</v>
      </c>
      <c r="I70" s="10">
        <f t="shared" si="17"/>
        <v>0</v>
      </c>
      <c r="J70" s="10">
        <f t="shared" si="20"/>
        <v>6</v>
      </c>
      <c r="K70" s="17" t="e">
        <f t="shared" si="14"/>
        <v>#N/A</v>
      </c>
      <c r="L70" s="17" t="e">
        <f t="shared" si="15"/>
        <v>#N/A</v>
      </c>
      <c r="M70" s="17" t="e">
        <f t="shared" ca="1" si="16"/>
        <v>#N/A</v>
      </c>
      <c r="N70" s="227"/>
      <c r="O70" s="227"/>
      <c r="P70" s="227" t="s">
        <v>74</v>
      </c>
    </row>
    <row r="71" spans="1:16" x14ac:dyDescent="0.2">
      <c r="A71" s="147"/>
      <c r="B71" s="152" t="s">
        <v>50</v>
      </c>
      <c r="C71" s="230" t="s">
        <v>135</v>
      </c>
      <c r="D71" s="230" t="s">
        <v>135</v>
      </c>
      <c r="E71" s="315" t="str">
        <f t="shared" si="19"/>
        <v>-</v>
      </c>
      <c r="F71" s="230" t="s">
        <v>74</v>
      </c>
      <c r="G71" s="230"/>
      <c r="H71" s="230" t="s">
        <v>74</v>
      </c>
      <c r="I71" s="10">
        <f t="shared" si="17"/>
        <v>0</v>
      </c>
      <c r="J71" s="10">
        <f t="shared" si="20"/>
        <v>7</v>
      </c>
      <c r="K71" s="17" t="e">
        <f t="shared" si="14"/>
        <v>#N/A</v>
      </c>
      <c r="L71" s="17" t="e">
        <f t="shared" si="15"/>
        <v>#N/A</v>
      </c>
      <c r="M71" s="17" t="e">
        <f t="shared" ca="1" si="16"/>
        <v>#N/A</v>
      </c>
      <c r="N71" s="227"/>
      <c r="O71" s="227"/>
      <c r="P71" s="227" t="s">
        <v>74</v>
      </c>
    </row>
    <row r="72" spans="1:16" x14ac:dyDescent="0.2">
      <c r="A72" s="147"/>
      <c r="B72" s="152" t="s">
        <v>50</v>
      </c>
      <c r="C72" s="230" t="s">
        <v>135</v>
      </c>
      <c r="D72" s="230" t="s">
        <v>135</v>
      </c>
      <c r="E72" s="315" t="str">
        <f t="shared" si="19"/>
        <v>-</v>
      </c>
      <c r="F72" s="230" t="s">
        <v>74</v>
      </c>
      <c r="G72" s="230"/>
      <c r="H72" s="230" t="s">
        <v>74</v>
      </c>
      <c r="I72" s="10">
        <f t="shared" si="17"/>
        <v>0</v>
      </c>
      <c r="J72" s="10">
        <f t="shared" si="20"/>
        <v>8</v>
      </c>
      <c r="K72" s="17" t="e">
        <f t="shared" si="14"/>
        <v>#N/A</v>
      </c>
      <c r="L72" s="17" t="e">
        <f t="shared" si="15"/>
        <v>#N/A</v>
      </c>
      <c r="M72" s="17" t="e">
        <f t="shared" ca="1" si="16"/>
        <v>#N/A</v>
      </c>
      <c r="N72" s="227"/>
      <c r="O72" s="227"/>
      <c r="P72" s="227" t="s">
        <v>74</v>
      </c>
    </row>
    <row r="73" spans="1:16" x14ac:dyDescent="0.2">
      <c r="A73" s="147"/>
      <c r="B73" s="152" t="s">
        <v>50</v>
      </c>
      <c r="C73" s="230" t="s">
        <v>135</v>
      </c>
      <c r="D73" s="230" t="s">
        <v>135</v>
      </c>
      <c r="E73" s="315" t="str">
        <f t="shared" si="19"/>
        <v>-</v>
      </c>
      <c r="F73" s="230" t="s">
        <v>74</v>
      </c>
      <c r="G73" s="230"/>
      <c r="H73" s="230" t="s">
        <v>74</v>
      </c>
      <c r="I73" s="10">
        <f t="shared" si="17"/>
        <v>0</v>
      </c>
      <c r="J73" s="10">
        <f t="shared" si="20"/>
        <v>9</v>
      </c>
      <c r="K73" s="17" t="e">
        <f t="shared" si="14"/>
        <v>#N/A</v>
      </c>
      <c r="L73" s="17" t="e">
        <f t="shared" si="15"/>
        <v>#N/A</v>
      </c>
      <c r="M73" s="17" t="e">
        <f t="shared" ca="1" si="16"/>
        <v>#N/A</v>
      </c>
      <c r="N73" s="227"/>
      <c r="O73" s="227"/>
      <c r="P73" s="227" t="s">
        <v>74</v>
      </c>
    </row>
    <row r="74" spans="1:16" x14ac:dyDescent="0.2">
      <c r="A74" s="147"/>
      <c r="B74" s="152" t="s">
        <v>50</v>
      </c>
      <c r="C74" s="230" t="s">
        <v>135</v>
      </c>
      <c r="D74" s="230" t="s">
        <v>135</v>
      </c>
      <c r="E74" s="315" t="str">
        <f t="shared" si="19"/>
        <v>-</v>
      </c>
      <c r="F74" s="230" t="s">
        <v>74</v>
      </c>
      <c r="G74" s="230"/>
      <c r="H74" s="230" t="s">
        <v>74</v>
      </c>
      <c r="I74" s="10">
        <f t="shared" si="17"/>
        <v>0</v>
      </c>
      <c r="J74" s="10">
        <f t="shared" si="20"/>
        <v>10</v>
      </c>
      <c r="K74" s="17" t="e">
        <f t="shared" si="14"/>
        <v>#N/A</v>
      </c>
      <c r="L74" s="17" t="e">
        <f t="shared" si="15"/>
        <v>#N/A</v>
      </c>
      <c r="M74" s="17" t="e">
        <f t="shared" ca="1" si="16"/>
        <v>#N/A</v>
      </c>
      <c r="N74" s="227"/>
      <c r="O74" s="227"/>
      <c r="P74" s="227" t="s">
        <v>74</v>
      </c>
    </row>
    <row r="75" spans="1:16" x14ac:dyDescent="0.2">
      <c r="A75" s="147"/>
      <c r="B75" s="152" t="s">
        <v>50</v>
      </c>
      <c r="C75" s="230" t="s">
        <v>135</v>
      </c>
      <c r="D75" s="230" t="s">
        <v>135</v>
      </c>
      <c r="E75" s="315" t="str">
        <f t="shared" si="19"/>
        <v>-</v>
      </c>
      <c r="F75" s="230" t="s">
        <v>74</v>
      </c>
      <c r="G75" s="230"/>
      <c r="H75" s="230" t="s">
        <v>74</v>
      </c>
      <c r="I75" s="10">
        <f t="shared" si="17"/>
        <v>0</v>
      </c>
      <c r="J75" s="10">
        <f t="shared" si="20"/>
        <v>11</v>
      </c>
      <c r="K75" s="17" t="e">
        <f t="shared" si="14"/>
        <v>#N/A</v>
      </c>
      <c r="L75" s="17" t="e">
        <f t="shared" si="15"/>
        <v>#N/A</v>
      </c>
      <c r="M75" s="17" t="e">
        <f t="shared" ca="1" si="16"/>
        <v>#N/A</v>
      </c>
      <c r="N75" s="227"/>
      <c r="O75" s="227"/>
      <c r="P75" s="227" t="s">
        <v>74</v>
      </c>
    </row>
    <row r="76" spans="1:16" x14ac:dyDescent="0.2">
      <c r="A76" s="147"/>
      <c r="B76" s="152" t="s">
        <v>50</v>
      </c>
      <c r="C76" s="230" t="s">
        <v>135</v>
      </c>
      <c r="D76" s="230" t="s">
        <v>135</v>
      </c>
      <c r="E76" s="315" t="str">
        <f t="shared" si="19"/>
        <v>-</v>
      </c>
      <c r="F76" s="230" t="s">
        <v>74</v>
      </c>
      <c r="G76" s="230"/>
      <c r="H76" s="230" t="s">
        <v>74</v>
      </c>
      <c r="I76" s="10">
        <f t="shared" si="17"/>
        <v>0</v>
      </c>
      <c r="J76" s="10">
        <f t="shared" si="20"/>
        <v>12</v>
      </c>
      <c r="K76" s="17" t="e">
        <f t="shared" si="14"/>
        <v>#N/A</v>
      </c>
      <c r="L76" s="17" t="e">
        <f t="shared" si="15"/>
        <v>#N/A</v>
      </c>
      <c r="M76" s="17" t="e">
        <f t="shared" ca="1" si="16"/>
        <v>#N/A</v>
      </c>
      <c r="N76" s="227"/>
      <c r="O76" s="227"/>
      <c r="P76" s="227" t="s">
        <v>74</v>
      </c>
    </row>
    <row r="77" spans="1:16" x14ac:dyDescent="0.2">
      <c r="A77" s="147"/>
      <c r="B77" s="152" t="s">
        <v>50</v>
      </c>
      <c r="C77" s="230" t="s">
        <v>135</v>
      </c>
      <c r="D77" s="230" t="s">
        <v>135</v>
      </c>
      <c r="E77" s="315" t="str">
        <f t="shared" si="19"/>
        <v>-</v>
      </c>
      <c r="F77" s="230" t="s">
        <v>74</v>
      </c>
      <c r="G77" s="230"/>
      <c r="H77" s="230" t="s">
        <v>74</v>
      </c>
      <c r="I77" s="10">
        <f t="shared" si="17"/>
        <v>0</v>
      </c>
      <c r="J77" s="10">
        <f t="shared" si="20"/>
        <v>13</v>
      </c>
      <c r="K77" s="17" t="e">
        <f t="shared" si="14"/>
        <v>#N/A</v>
      </c>
      <c r="L77" s="17" t="e">
        <f t="shared" si="15"/>
        <v>#N/A</v>
      </c>
      <c r="M77" s="17" t="e">
        <f t="shared" ca="1" si="16"/>
        <v>#N/A</v>
      </c>
      <c r="N77" s="227"/>
      <c r="O77" s="227"/>
      <c r="P77" s="227" t="s">
        <v>74</v>
      </c>
    </row>
    <row r="78" spans="1:16" x14ac:dyDescent="0.2">
      <c r="A78" s="147"/>
      <c r="B78" s="152" t="s">
        <v>50</v>
      </c>
      <c r="C78" s="230" t="s">
        <v>135</v>
      </c>
      <c r="D78" s="230" t="s">
        <v>135</v>
      </c>
      <c r="E78" s="315" t="str">
        <f t="shared" si="19"/>
        <v>-</v>
      </c>
      <c r="F78" s="230" t="s">
        <v>74</v>
      </c>
      <c r="G78" s="230"/>
      <c r="H78" s="230" t="s">
        <v>74</v>
      </c>
      <c r="I78" s="10">
        <f t="shared" si="17"/>
        <v>0</v>
      </c>
      <c r="J78" s="10">
        <f t="shared" si="20"/>
        <v>14</v>
      </c>
      <c r="K78" s="17" t="e">
        <f t="shared" si="14"/>
        <v>#N/A</v>
      </c>
      <c r="L78" s="17" t="e">
        <f t="shared" si="15"/>
        <v>#N/A</v>
      </c>
      <c r="M78" s="17" t="e">
        <f t="shared" ca="1" si="16"/>
        <v>#N/A</v>
      </c>
      <c r="N78" s="227"/>
      <c r="O78" s="227"/>
      <c r="P78" s="227" t="s">
        <v>74</v>
      </c>
    </row>
    <row r="79" spans="1:16" x14ac:dyDescent="0.2">
      <c r="A79" s="147"/>
      <c r="B79" s="152" t="s">
        <v>50</v>
      </c>
      <c r="C79" s="230" t="s">
        <v>135</v>
      </c>
      <c r="D79" s="230" t="s">
        <v>135</v>
      </c>
      <c r="E79" s="315" t="str">
        <f t="shared" si="19"/>
        <v>-</v>
      </c>
      <c r="F79" s="230" t="s">
        <v>74</v>
      </c>
      <c r="G79" s="230"/>
      <c r="H79" s="230" t="s">
        <v>74</v>
      </c>
      <c r="I79" s="10">
        <f t="shared" si="17"/>
        <v>0</v>
      </c>
      <c r="J79" s="10">
        <f t="shared" si="20"/>
        <v>15</v>
      </c>
      <c r="K79" s="17" t="e">
        <f t="shared" si="14"/>
        <v>#N/A</v>
      </c>
      <c r="L79" s="17" t="e">
        <f t="shared" si="15"/>
        <v>#N/A</v>
      </c>
      <c r="M79" s="17" t="e">
        <f t="shared" ca="1" si="16"/>
        <v>#N/A</v>
      </c>
      <c r="N79" s="227"/>
      <c r="O79" s="227"/>
      <c r="P79" s="227" t="s">
        <v>74</v>
      </c>
    </row>
    <row r="80" spans="1:16" x14ac:dyDescent="0.2">
      <c r="A80" s="147"/>
      <c r="B80" s="152" t="s">
        <v>50</v>
      </c>
      <c r="C80" s="230" t="s">
        <v>135</v>
      </c>
      <c r="D80" s="230" t="s">
        <v>135</v>
      </c>
      <c r="E80" s="315" t="str">
        <f t="shared" si="19"/>
        <v>-</v>
      </c>
      <c r="F80" s="230" t="s">
        <v>74</v>
      </c>
      <c r="G80" s="230"/>
      <c r="H80" s="230" t="s">
        <v>74</v>
      </c>
      <c r="I80" s="10">
        <f t="shared" si="17"/>
        <v>0</v>
      </c>
      <c r="J80" s="10">
        <f t="shared" si="20"/>
        <v>16</v>
      </c>
      <c r="K80" s="17" t="e">
        <f t="shared" si="14"/>
        <v>#N/A</v>
      </c>
      <c r="L80" s="17" t="e">
        <f t="shared" si="15"/>
        <v>#N/A</v>
      </c>
      <c r="M80" s="17" t="e">
        <f t="shared" ca="1" si="16"/>
        <v>#N/A</v>
      </c>
      <c r="N80" s="227"/>
      <c r="O80" s="227"/>
      <c r="P80" s="227" t="s">
        <v>74</v>
      </c>
    </row>
    <row r="81" spans="1:16" x14ac:dyDescent="0.2">
      <c r="A81" s="147"/>
      <c r="B81" s="152" t="s">
        <v>50</v>
      </c>
      <c r="C81" s="230" t="s">
        <v>135</v>
      </c>
      <c r="D81" s="230" t="s">
        <v>135</v>
      </c>
      <c r="E81" s="315" t="str">
        <f t="shared" ref="E81:E112" si="21">IF(P81="-",P81,_xlfn.CONCAT(C81,":",P81))</f>
        <v>-</v>
      </c>
      <c r="F81" s="230" t="s">
        <v>74</v>
      </c>
      <c r="G81" s="230"/>
      <c r="H81" s="230" t="s">
        <v>74</v>
      </c>
      <c r="I81" s="10">
        <f t="shared" si="17"/>
        <v>0</v>
      </c>
      <c r="J81" s="10">
        <f t="shared" si="20"/>
        <v>17</v>
      </c>
      <c r="K81" s="17" t="e">
        <f t="shared" ref="K81:K144" si="22">VLOOKUP(H81,nodeDevicePinConfigTable,3+J81+(IF(B81="IN",0,1)*VLOOKUP(H81,nodeDevicePinConfigTable,2,TRUE)),TRUE)</f>
        <v>#N/A</v>
      </c>
      <c r="L81" s="17" t="e">
        <f t="shared" ref="L81:L144" si="23">VLOOKUP(H81,nodeJMRIPinConfigTable,3+J81+(IF(B81="IN",0,1)*VLOOKUP(H81,nodeJMRIPinConfigTable,2,TRUE)),TRUE)</f>
        <v>#N/A</v>
      </c>
      <c r="M81" s="17" t="e">
        <f t="shared" ref="M81:M144" ca="1" si="24">CONCATENATE(LEFT(L81,2),$D$5*1000+VALUE(RIGHT(L81,3)+I81))</f>
        <v>#N/A</v>
      </c>
      <c r="N81" s="227"/>
      <c r="O81" s="227"/>
      <c r="P81" s="227" t="s">
        <v>74</v>
      </c>
    </row>
    <row r="82" spans="1:16" x14ac:dyDescent="0.2">
      <c r="A82" s="147"/>
      <c r="B82" s="152" t="s">
        <v>50</v>
      </c>
      <c r="C82" s="230" t="s">
        <v>135</v>
      </c>
      <c r="D82" s="230" t="s">
        <v>135</v>
      </c>
      <c r="E82" s="315" t="str">
        <f t="shared" si="21"/>
        <v>-</v>
      </c>
      <c r="F82" s="230" t="s">
        <v>74</v>
      </c>
      <c r="G82" s="230"/>
      <c r="H82" s="230" t="s">
        <v>74</v>
      </c>
      <c r="I82" s="10">
        <f t="shared" ref="I82:I145" si="25">IF(LEFT(H82,4)="BASE",0,IF(LEFT(H82,3)="IOX", VALUE(MID(H82,4,2))*VALUE(RIGHT(H82,1)),0))</f>
        <v>0</v>
      </c>
      <c r="J82" s="10">
        <f t="shared" si="20"/>
        <v>18</v>
      </c>
      <c r="K82" s="17" t="e">
        <f t="shared" si="22"/>
        <v>#N/A</v>
      </c>
      <c r="L82" s="17" t="e">
        <f t="shared" si="23"/>
        <v>#N/A</v>
      </c>
      <c r="M82" s="17" t="e">
        <f t="shared" ca="1" si="24"/>
        <v>#N/A</v>
      </c>
      <c r="N82" s="227"/>
      <c r="O82" s="227"/>
      <c r="P82" s="227" t="s">
        <v>74</v>
      </c>
    </row>
    <row r="83" spans="1:16" x14ac:dyDescent="0.2">
      <c r="A83" s="147"/>
      <c r="B83" s="152" t="s">
        <v>50</v>
      </c>
      <c r="C83" s="230" t="s">
        <v>135</v>
      </c>
      <c r="D83" s="230" t="s">
        <v>135</v>
      </c>
      <c r="E83" s="315" t="str">
        <f t="shared" si="21"/>
        <v>-</v>
      </c>
      <c r="F83" s="230" t="s">
        <v>74</v>
      </c>
      <c r="G83" s="230"/>
      <c r="H83" s="230" t="s">
        <v>74</v>
      </c>
      <c r="I83" s="10">
        <f t="shared" si="25"/>
        <v>0</v>
      </c>
      <c r="J83" s="10">
        <f t="shared" si="20"/>
        <v>19</v>
      </c>
      <c r="K83" s="17" t="e">
        <f t="shared" si="22"/>
        <v>#N/A</v>
      </c>
      <c r="L83" s="17" t="e">
        <f t="shared" si="23"/>
        <v>#N/A</v>
      </c>
      <c r="M83" s="17" t="e">
        <f t="shared" ca="1" si="24"/>
        <v>#N/A</v>
      </c>
      <c r="N83" s="227"/>
      <c r="O83" s="227"/>
      <c r="P83" s="227" t="s">
        <v>74</v>
      </c>
    </row>
    <row r="84" spans="1:16" x14ac:dyDescent="0.2">
      <c r="A84" s="147"/>
      <c r="B84" s="152" t="s">
        <v>50</v>
      </c>
      <c r="C84" s="230" t="s">
        <v>135</v>
      </c>
      <c r="D84" s="230" t="s">
        <v>135</v>
      </c>
      <c r="E84" s="315" t="str">
        <f t="shared" si="21"/>
        <v>-</v>
      </c>
      <c r="F84" s="230" t="s">
        <v>74</v>
      </c>
      <c r="G84" s="230"/>
      <c r="H84" s="230" t="s">
        <v>74</v>
      </c>
      <c r="I84" s="10">
        <f t="shared" si="25"/>
        <v>0</v>
      </c>
      <c r="J84" s="10">
        <f t="shared" si="20"/>
        <v>20</v>
      </c>
      <c r="K84" s="17" t="e">
        <f t="shared" si="22"/>
        <v>#N/A</v>
      </c>
      <c r="L84" s="17" t="e">
        <f t="shared" si="23"/>
        <v>#N/A</v>
      </c>
      <c r="M84" s="17" t="e">
        <f t="shared" ca="1" si="24"/>
        <v>#N/A</v>
      </c>
      <c r="N84" s="227"/>
      <c r="O84" s="227"/>
      <c r="P84" s="227" t="s">
        <v>74</v>
      </c>
    </row>
    <row r="85" spans="1:16" x14ac:dyDescent="0.2">
      <c r="A85" s="147"/>
      <c r="B85" s="152" t="s">
        <v>50</v>
      </c>
      <c r="C85" s="230" t="s">
        <v>135</v>
      </c>
      <c r="D85" s="230" t="s">
        <v>135</v>
      </c>
      <c r="E85" s="315" t="str">
        <f t="shared" si="21"/>
        <v>-</v>
      </c>
      <c r="F85" s="230" t="s">
        <v>74</v>
      </c>
      <c r="G85" s="230"/>
      <c r="H85" s="230" t="s">
        <v>74</v>
      </c>
      <c r="I85" s="10">
        <f t="shared" si="25"/>
        <v>0</v>
      </c>
      <c r="J85" s="10">
        <f t="shared" si="20"/>
        <v>21</v>
      </c>
      <c r="K85" s="17" t="e">
        <f t="shared" si="22"/>
        <v>#N/A</v>
      </c>
      <c r="L85" s="17" t="e">
        <f t="shared" si="23"/>
        <v>#N/A</v>
      </c>
      <c r="M85" s="17" t="e">
        <f t="shared" ca="1" si="24"/>
        <v>#N/A</v>
      </c>
      <c r="N85" s="227"/>
      <c r="O85" s="227"/>
      <c r="P85" s="227" t="s">
        <v>74</v>
      </c>
    </row>
    <row r="86" spans="1:16" x14ac:dyDescent="0.2">
      <c r="A86" s="147"/>
      <c r="B86" s="152" t="s">
        <v>50</v>
      </c>
      <c r="C86" s="230" t="s">
        <v>135</v>
      </c>
      <c r="D86" s="230" t="s">
        <v>135</v>
      </c>
      <c r="E86" s="315" t="str">
        <f t="shared" si="21"/>
        <v>-</v>
      </c>
      <c r="F86" s="230" t="s">
        <v>74</v>
      </c>
      <c r="G86" s="230"/>
      <c r="H86" s="230" t="s">
        <v>74</v>
      </c>
      <c r="I86" s="10">
        <f t="shared" si="25"/>
        <v>0</v>
      </c>
      <c r="J86" s="10">
        <f t="shared" si="20"/>
        <v>22</v>
      </c>
      <c r="K86" s="17" t="e">
        <f t="shared" si="22"/>
        <v>#N/A</v>
      </c>
      <c r="L86" s="17" t="e">
        <f t="shared" si="23"/>
        <v>#N/A</v>
      </c>
      <c r="M86" s="17" t="e">
        <f t="shared" ca="1" si="24"/>
        <v>#N/A</v>
      </c>
      <c r="N86" s="227"/>
      <c r="O86" s="227"/>
      <c r="P86" s="227" t="s">
        <v>74</v>
      </c>
    </row>
    <row r="87" spans="1:16" x14ac:dyDescent="0.2">
      <c r="A87" s="147"/>
      <c r="B87" s="152" t="s">
        <v>50</v>
      </c>
      <c r="C87" s="230" t="s">
        <v>135</v>
      </c>
      <c r="D87" s="230" t="s">
        <v>135</v>
      </c>
      <c r="E87" s="315" t="str">
        <f t="shared" si="21"/>
        <v>-</v>
      </c>
      <c r="F87" s="230" t="s">
        <v>74</v>
      </c>
      <c r="G87" s="230"/>
      <c r="H87" s="230" t="s">
        <v>74</v>
      </c>
      <c r="I87" s="10">
        <f t="shared" si="25"/>
        <v>0</v>
      </c>
      <c r="J87" s="10">
        <f t="shared" si="20"/>
        <v>23</v>
      </c>
      <c r="K87" s="17" t="e">
        <f t="shared" si="22"/>
        <v>#N/A</v>
      </c>
      <c r="L87" s="17" t="e">
        <f t="shared" si="23"/>
        <v>#N/A</v>
      </c>
      <c r="M87" s="17" t="e">
        <f t="shared" ca="1" si="24"/>
        <v>#N/A</v>
      </c>
      <c r="N87" s="227"/>
      <c r="O87" s="227"/>
      <c r="P87" s="227" t="s">
        <v>74</v>
      </c>
    </row>
    <row r="88" spans="1:16" x14ac:dyDescent="0.2">
      <c r="A88" s="147"/>
      <c r="B88" s="152" t="s">
        <v>50</v>
      </c>
      <c r="C88" s="230" t="s">
        <v>135</v>
      </c>
      <c r="D88" s="230" t="s">
        <v>135</v>
      </c>
      <c r="E88" s="315" t="str">
        <f t="shared" si="21"/>
        <v>-</v>
      </c>
      <c r="F88" s="230" t="s">
        <v>74</v>
      </c>
      <c r="G88" s="230"/>
      <c r="H88" s="230" t="s">
        <v>74</v>
      </c>
      <c r="I88" s="10">
        <f t="shared" si="25"/>
        <v>0</v>
      </c>
      <c r="J88" s="10">
        <f t="shared" si="20"/>
        <v>24</v>
      </c>
      <c r="K88" s="17" t="e">
        <f t="shared" si="22"/>
        <v>#N/A</v>
      </c>
      <c r="L88" s="17" t="e">
        <f t="shared" si="23"/>
        <v>#N/A</v>
      </c>
      <c r="M88" s="17" t="e">
        <f t="shared" ca="1" si="24"/>
        <v>#N/A</v>
      </c>
      <c r="N88" s="227"/>
      <c r="O88" s="227"/>
      <c r="P88" s="227" t="s">
        <v>74</v>
      </c>
    </row>
    <row r="89" spans="1:16" x14ac:dyDescent="0.2">
      <c r="A89" s="147"/>
      <c r="B89" s="152" t="s">
        <v>50</v>
      </c>
      <c r="C89" s="230" t="s">
        <v>135</v>
      </c>
      <c r="D89" s="230" t="s">
        <v>135</v>
      </c>
      <c r="E89" s="315" t="str">
        <f t="shared" si="21"/>
        <v>-</v>
      </c>
      <c r="F89" s="230" t="s">
        <v>74</v>
      </c>
      <c r="G89" s="230"/>
      <c r="H89" s="230" t="s">
        <v>74</v>
      </c>
      <c r="I89" s="10">
        <f t="shared" si="25"/>
        <v>0</v>
      </c>
      <c r="J89" s="10">
        <f t="shared" si="20"/>
        <v>25</v>
      </c>
      <c r="K89" s="17" t="e">
        <f t="shared" si="22"/>
        <v>#N/A</v>
      </c>
      <c r="L89" s="17" t="e">
        <f t="shared" si="23"/>
        <v>#N/A</v>
      </c>
      <c r="M89" s="17" t="e">
        <f t="shared" ca="1" si="24"/>
        <v>#N/A</v>
      </c>
      <c r="N89" s="227"/>
      <c r="O89" s="227"/>
      <c r="P89" s="227" t="s">
        <v>74</v>
      </c>
    </row>
    <row r="90" spans="1:16" x14ac:dyDescent="0.2">
      <c r="A90" s="147"/>
      <c r="B90" s="152" t="s">
        <v>50</v>
      </c>
      <c r="C90" s="230" t="s">
        <v>135</v>
      </c>
      <c r="D90" s="230" t="s">
        <v>135</v>
      </c>
      <c r="E90" s="315" t="str">
        <f t="shared" si="21"/>
        <v>-</v>
      </c>
      <c r="F90" s="230" t="s">
        <v>74</v>
      </c>
      <c r="G90" s="230"/>
      <c r="H90" s="230" t="s">
        <v>74</v>
      </c>
      <c r="I90" s="10">
        <f t="shared" si="25"/>
        <v>0</v>
      </c>
      <c r="J90" s="10">
        <f t="shared" si="20"/>
        <v>26</v>
      </c>
      <c r="K90" s="17" t="e">
        <f t="shared" si="22"/>
        <v>#N/A</v>
      </c>
      <c r="L90" s="17" t="e">
        <f t="shared" si="23"/>
        <v>#N/A</v>
      </c>
      <c r="M90" s="17" t="e">
        <f t="shared" ca="1" si="24"/>
        <v>#N/A</v>
      </c>
      <c r="N90" s="227"/>
      <c r="O90" s="227"/>
      <c r="P90" s="227" t="s">
        <v>74</v>
      </c>
    </row>
    <row r="91" spans="1:16" x14ac:dyDescent="0.2">
      <c r="A91" s="147"/>
      <c r="B91" s="152" t="s">
        <v>50</v>
      </c>
      <c r="C91" s="230" t="s">
        <v>135</v>
      </c>
      <c r="D91" s="230" t="s">
        <v>135</v>
      </c>
      <c r="E91" s="315" t="str">
        <f t="shared" si="21"/>
        <v>-</v>
      </c>
      <c r="F91" s="230" t="s">
        <v>74</v>
      </c>
      <c r="G91" s="230"/>
      <c r="H91" s="230" t="s">
        <v>74</v>
      </c>
      <c r="I91" s="10">
        <f t="shared" si="25"/>
        <v>0</v>
      </c>
      <c r="J91" s="10">
        <f t="shared" si="20"/>
        <v>27</v>
      </c>
      <c r="K91" s="17" t="e">
        <f t="shared" si="22"/>
        <v>#N/A</v>
      </c>
      <c r="L91" s="17" t="e">
        <f t="shared" si="23"/>
        <v>#N/A</v>
      </c>
      <c r="M91" s="17" t="e">
        <f t="shared" ca="1" si="24"/>
        <v>#N/A</v>
      </c>
      <c r="N91" s="227"/>
      <c r="O91" s="227"/>
      <c r="P91" s="227" t="s">
        <v>74</v>
      </c>
    </row>
    <row r="92" spans="1:16" x14ac:dyDescent="0.2">
      <c r="A92" s="147"/>
      <c r="B92" s="152" t="s">
        <v>50</v>
      </c>
      <c r="C92" s="230" t="s">
        <v>135</v>
      </c>
      <c r="D92" s="230" t="s">
        <v>135</v>
      </c>
      <c r="E92" s="315" t="str">
        <f t="shared" si="21"/>
        <v>-</v>
      </c>
      <c r="F92" s="230" t="s">
        <v>74</v>
      </c>
      <c r="G92" s="230"/>
      <c r="H92" s="230" t="s">
        <v>74</v>
      </c>
      <c r="I92" s="10">
        <f t="shared" si="25"/>
        <v>0</v>
      </c>
      <c r="J92" s="10">
        <f t="shared" si="20"/>
        <v>28</v>
      </c>
      <c r="K92" s="17" t="e">
        <f t="shared" si="22"/>
        <v>#N/A</v>
      </c>
      <c r="L92" s="17" t="e">
        <f t="shared" si="23"/>
        <v>#N/A</v>
      </c>
      <c r="M92" s="17" t="e">
        <f t="shared" ca="1" si="24"/>
        <v>#N/A</v>
      </c>
      <c r="N92" s="227"/>
      <c r="O92" s="227"/>
      <c r="P92" s="227" t="s">
        <v>74</v>
      </c>
    </row>
    <row r="93" spans="1:16" x14ac:dyDescent="0.2">
      <c r="A93" s="147"/>
      <c r="B93" s="152" t="s">
        <v>50</v>
      </c>
      <c r="C93" s="230" t="s">
        <v>135</v>
      </c>
      <c r="D93" s="230" t="s">
        <v>135</v>
      </c>
      <c r="E93" s="315" t="str">
        <f t="shared" si="21"/>
        <v>-</v>
      </c>
      <c r="F93" s="230" t="s">
        <v>74</v>
      </c>
      <c r="G93" s="230"/>
      <c r="H93" s="230" t="s">
        <v>74</v>
      </c>
      <c r="I93" s="10">
        <f t="shared" si="25"/>
        <v>0</v>
      </c>
      <c r="J93" s="10">
        <f t="shared" si="20"/>
        <v>29</v>
      </c>
      <c r="K93" s="17" t="e">
        <f t="shared" si="22"/>
        <v>#N/A</v>
      </c>
      <c r="L93" s="17" t="e">
        <f t="shared" si="23"/>
        <v>#N/A</v>
      </c>
      <c r="M93" s="17" t="e">
        <f t="shared" ca="1" si="24"/>
        <v>#N/A</v>
      </c>
      <c r="N93" s="227"/>
      <c r="O93" s="227"/>
      <c r="P93" s="227" t="s">
        <v>74</v>
      </c>
    </row>
    <row r="94" spans="1:16" x14ac:dyDescent="0.2">
      <c r="A94" s="147"/>
      <c r="B94" s="152" t="s">
        <v>50</v>
      </c>
      <c r="C94" s="230" t="s">
        <v>135</v>
      </c>
      <c r="D94" s="230" t="s">
        <v>135</v>
      </c>
      <c r="E94" s="315" t="str">
        <f t="shared" si="21"/>
        <v>-</v>
      </c>
      <c r="F94" s="230" t="s">
        <v>74</v>
      </c>
      <c r="G94" s="230"/>
      <c r="H94" s="230" t="s">
        <v>74</v>
      </c>
      <c r="I94" s="10">
        <f t="shared" si="25"/>
        <v>0</v>
      </c>
      <c r="J94" s="10">
        <f t="shared" si="20"/>
        <v>30</v>
      </c>
      <c r="K94" s="17" t="e">
        <f t="shared" si="22"/>
        <v>#N/A</v>
      </c>
      <c r="L94" s="17" t="e">
        <f t="shared" si="23"/>
        <v>#N/A</v>
      </c>
      <c r="M94" s="17" t="e">
        <f t="shared" ca="1" si="24"/>
        <v>#N/A</v>
      </c>
      <c r="N94" s="227"/>
      <c r="O94" s="227"/>
      <c r="P94" s="227" t="s">
        <v>74</v>
      </c>
    </row>
    <row r="95" spans="1:16" x14ac:dyDescent="0.2">
      <c r="A95" s="147"/>
      <c r="B95" s="152" t="s">
        <v>50</v>
      </c>
      <c r="C95" s="230" t="s">
        <v>135</v>
      </c>
      <c r="D95" s="230" t="s">
        <v>135</v>
      </c>
      <c r="E95" s="315" t="str">
        <f t="shared" si="21"/>
        <v>-</v>
      </c>
      <c r="F95" s="230" t="s">
        <v>74</v>
      </c>
      <c r="G95" s="230"/>
      <c r="H95" s="230" t="s">
        <v>74</v>
      </c>
      <c r="I95" s="10">
        <f t="shared" si="25"/>
        <v>0</v>
      </c>
      <c r="J95" s="10">
        <f t="shared" si="20"/>
        <v>31</v>
      </c>
      <c r="K95" s="17" t="e">
        <f t="shared" si="22"/>
        <v>#N/A</v>
      </c>
      <c r="L95" s="17" t="e">
        <f t="shared" si="23"/>
        <v>#N/A</v>
      </c>
      <c r="M95" s="17" t="e">
        <f t="shared" ca="1" si="24"/>
        <v>#N/A</v>
      </c>
      <c r="N95" s="227"/>
      <c r="O95" s="227"/>
      <c r="P95" s="227" t="s">
        <v>74</v>
      </c>
    </row>
    <row r="96" spans="1:16" ht="16" thickBot="1" x14ac:dyDescent="0.25">
      <c r="A96" s="147"/>
      <c r="B96" s="136" t="s">
        <v>50</v>
      </c>
      <c r="C96" s="137" t="s">
        <v>135</v>
      </c>
      <c r="D96" s="137" t="s">
        <v>135</v>
      </c>
      <c r="E96" s="317" t="str">
        <f t="shared" si="21"/>
        <v>-</v>
      </c>
      <c r="F96" s="137" t="s">
        <v>74</v>
      </c>
      <c r="G96" s="137"/>
      <c r="H96" s="137" t="s">
        <v>74</v>
      </c>
      <c r="I96" s="12">
        <f t="shared" si="25"/>
        <v>0</v>
      </c>
      <c r="J96" s="12">
        <f t="shared" si="20"/>
        <v>32</v>
      </c>
      <c r="K96" s="18" t="e">
        <f t="shared" si="22"/>
        <v>#N/A</v>
      </c>
      <c r="L96" s="18" t="e">
        <f t="shared" si="23"/>
        <v>#N/A</v>
      </c>
      <c r="M96" s="18" t="e">
        <f t="shared" ca="1" si="24"/>
        <v>#N/A</v>
      </c>
      <c r="N96" s="228"/>
      <c r="O96" s="228"/>
      <c r="P96" s="228" t="s">
        <v>74</v>
      </c>
    </row>
    <row r="97" spans="1:16" x14ac:dyDescent="0.2">
      <c r="A97" s="147"/>
      <c r="B97" s="255" t="s">
        <v>50</v>
      </c>
      <c r="C97" s="256" t="s">
        <v>135</v>
      </c>
      <c r="D97" s="256" t="s">
        <v>135</v>
      </c>
      <c r="E97" s="320" t="str">
        <f t="shared" si="21"/>
        <v>-</v>
      </c>
      <c r="F97" s="256" t="s">
        <v>74</v>
      </c>
      <c r="G97" s="325"/>
      <c r="H97" s="256" t="s">
        <v>74</v>
      </c>
      <c r="I97" s="254">
        <f t="shared" si="25"/>
        <v>0</v>
      </c>
      <c r="J97" s="5">
        <v>1</v>
      </c>
      <c r="K97" s="15" t="e">
        <f t="shared" si="22"/>
        <v>#N/A</v>
      </c>
      <c r="L97" s="15" t="e">
        <f t="shared" si="23"/>
        <v>#N/A</v>
      </c>
      <c r="M97" s="15" t="e">
        <f t="shared" ca="1" si="24"/>
        <v>#N/A</v>
      </c>
      <c r="N97" s="226"/>
      <c r="O97" s="226"/>
      <c r="P97" s="226" t="s">
        <v>74</v>
      </c>
    </row>
    <row r="98" spans="1:16" x14ac:dyDescent="0.2">
      <c r="A98" s="147"/>
      <c r="B98" s="152" t="s">
        <v>50</v>
      </c>
      <c r="C98" s="230" t="s">
        <v>135</v>
      </c>
      <c r="D98" s="230" t="s">
        <v>135</v>
      </c>
      <c r="E98" s="315" t="str">
        <f t="shared" si="21"/>
        <v>-</v>
      </c>
      <c r="F98" s="230" t="s">
        <v>74</v>
      </c>
      <c r="G98" s="230"/>
      <c r="H98" s="230" t="s">
        <v>74</v>
      </c>
      <c r="I98" s="10">
        <f t="shared" si="25"/>
        <v>0</v>
      </c>
      <c r="J98" s="6">
        <f t="shared" ref="J98:J128" si="26">IF(AND(H98=H97,B98=B97), J97+1,1)</f>
        <v>2</v>
      </c>
      <c r="K98" s="16" t="e">
        <f t="shared" si="22"/>
        <v>#N/A</v>
      </c>
      <c r="L98" s="16" t="e">
        <f t="shared" si="23"/>
        <v>#N/A</v>
      </c>
      <c r="M98" s="16" t="e">
        <f t="shared" ca="1" si="24"/>
        <v>#N/A</v>
      </c>
      <c r="N98" s="227"/>
      <c r="O98" s="227"/>
      <c r="P98" s="227" t="s">
        <v>74</v>
      </c>
    </row>
    <row r="99" spans="1:16" x14ac:dyDescent="0.2">
      <c r="A99" s="147"/>
      <c r="B99" s="152" t="s">
        <v>50</v>
      </c>
      <c r="C99" s="230" t="s">
        <v>135</v>
      </c>
      <c r="D99" s="230" t="s">
        <v>135</v>
      </c>
      <c r="E99" s="315" t="str">
        <f t="shared" si="21"/>
        <v>-</v>
      </c>
      <c r="F99" s="230" t="s">
        <v>74</v>
      </c>
      <c r="G99" s="230"/>
      <c r="H99" s="230" t="s">
        <v>74</v>
      </c>
      <c r="I99" s="10">
        <f t="shared" si="25"/>
        <v>0</v>
      </c>
      <c r="J99" s="6">
        <f t="shared" si="26"/>
        <v>3</v>
      </c>
      <c r="K99" s="16" t="e">
        <f t="shared" si="22"/>
        <v>#N/A</v>
      </c>
      <c r="L99" s="16" t="e">
        <f t="shared" si="23"/>
        <v>#N/A</v>
      </c>
      <c r="M99" s="16" t="e">
        <f t="shared" ca="1" si="24"/>
        <v>#N/A</v>
      </c>
      <c r="N99" s="227"/>
      <c r="O99" s="227"/>
      <c r="P99" s="227" t="s">
        <v>74</v>
      </c>
    </row>
    <row r="100" spans="1:16" x14ac:dyDescent="0.2">
      <c r="A100" s="147"/>
      <c r="B100" s="152" t="s">
        <v>50</v>
      </c>
      <c r="C100" s="230" t="s">
        <v>135</v>
      </c>
      <c r="D100" s="230" t="s">
        <v>135</v>
      </c>
      <c r="E100" s="315" t="str">
        <f t="shared" si="21"/>
        <v>-</v>
      </c>
      <c r="F100" s="230" t="s">
        <v>74</v>
      </c>
      <c r="G100" s="230"/>
      <c r="H100" s="230" t="s">
        <v>74</v>
      </c>
      <c r="I100" s="10">
        <f t="shared" si="25"/>
        <v>0</v>
      </c>
      <c r="J100" s="6">
        <f t="shared" si="26"/>
        <v>4</v>
      </c>
      <c r="K100" s="16" t="e">
        <f t="shared" si="22"/>
        <v>#N/A</v>
      </c>
      <c r="L100" s="16" t="e">
        <f t="shared" si="23"/>
        <v>#N/A</v>
      </c>
      <c r="M100" s="16" t="e">
        <f t="shared" ca="1" si="24"/>
        <v>#N/A</v>
      </c>
      <c r="N100" s="227"/>
      <c r="O100" s="227"/>
      <c r="P100" s="227" t="s">
        <v>74</v>
      </c>
    </row>
    <row r="101" spans="1:16" x14ac:dyDescent="0.2">
      <c r="A101" s="147"/>
      <c r="B101" s="152" t="s">
        <v>50</v>
      </c>
      <c r="C101" s="230" t="s">
        <v>135</v>
      </c>
      <c r="D101" s="230" t="s">
        <v>135</v>
      </c>
      <c r="E101" s="315" t="str">
        <f t="shared" si="21"/>
        <v>-</v>
      </c>
      <c r="F101" s="230" t="s">
        <v>74</v>
      </c>
      <c r="G101" s="230"/>
      <c r="H101" s="230" t="s">
        <v>74</v>
      </c>
      <c r="I101" s="10">
        <f t="shared" si="25"/>
        <v>0</v>
      </c>
      <c r="J101" s="10">
        <f t="shared" si="26"/>
        <v>5</v>
      </c>
      <c r="K101" s="17" t="e">
        <f t="shared" si="22"/>
        <v>#N/A</v>
      </c>
      <c r="L101" s="17" t="e">
        <f t="shared" si="23"/>
        <v>#N/A</v>
      </c>
      <c r="M101" s="17" t="e">
        <f t="shared" ca="1" si="24"/>
        <v>#N/A</v>
      </c>
      <c r="N101" s="227"/>
      <c r="O101" s="227"/>
      <c r="P101" s="227" t="s">
        <v>74</v>
      </c>
    </row>
    <row r="102" spans="1:16" x14ac:dyDescent="0.2">
      <c r="A102" s="147"/>
      <c r="B102" s="152" t="s">
        <v>50</v>
      </c>
      <c r="C102" s="230" t="s">
        <v>135</v>
      </c>
      <c r="D102" s="230" t="s">
        <v>135</v>
      </c>
      <c r="E102" s="315" t="str">
        <f t="shared" si="21"/>
        <v>-</v>
      </c>
      <c r="F102" s="230" t="s">
        <v>74</v>
      </c>
      <c r="G102" s="230"/>
      <c r="H102" s="230" t="s">
        <v>74</v>
      </c>
      <c r="I102" s="10">
        <f t="shared" si="25"/>
        <v>0</v>
      </c>
      <c r="J102" s="10">
        <f t="shared" si="26"/>
        <v>6</v>
      </c>
      <c r="K102" s="17" t="e">
        <f t="shared" si="22"/>
        <v>#N/A</v>
      </c>
      <c r="L102" s="17" t="e">
        <f t="shared" si="23"/>
        <v>#N/A</v>
      </c>
      <c r="M102" s="17" t="e">
        <f t="shared" ca="1" si="24"/>
        <v>#N/A</v>
      </c>
      <c r="N102" s="227"/>
      <c r="O102" s="227"/>
      <c r="P102" s="227" t="s">
        <v>74</v>
      </c>
    </row>
    <row r="103" spans="1:16" x14ac:dyDescent="0.2">
      <c r="A103" s="147"/>
      <c r="B103" s="152" t="s">
        <v>50</v>
      </c>
      <c r="C103" s="230" t="s">
        <v>135</v>
      </c>
      <c r="D103" s="230" t="s">
        <v>135</v>
      </c>
      <c r="E103" s="315" t="str">
        <f t="shared" si="21"/>
        <v>-</v>
      </c>
      <c r="F103" s="230" t="s">
        <v>74</v>
      </c>
      <c r="G103" s="230"/>
      <c r="H103" s="230" t="s">
        <v>74</v>
      </c>
      <c r="I103" s="10">
        <f t="shared" si="25"/>
        <v>0</v>
      </c>
      <c r="J103" s="10">
        <f t="shared" si="26"/>
        <v>7</v>
      </c>
      <c r="K103" s="17" t="e">
        <f t="shared" si="22"/>
        <v>#N/A</v>
      </c>
      <c r="L103" s="17" t="e">
        <f t="shared" si="23"/>
        <v>#N/A</v>
      </c>
      <c r="M103" s="17" t="e">
        <f t="shared" ca="1" si="24"/>
        <v>#N/A</v>
      </c>
      <c r="N103" s="227"/>
      <c r="O103" s="227"/>
      <c r="P103" s="227" t="s">
        <v>74</v>
      </c>
    </row>
    <row r="104" spans="1:16" x14ac:dyDescent="0.2">
      <c r="A104" s="147"/>
      <c r="B104" s="152" t="s">
        <v>50</v>
      </c>
      <c r="C104" s="230" t="s">
        <v>135</v>
      </c>
      <c r="D104" s="230" t="s">
        <v>135</v>
      </c>
      <c r="E104" s="315" t="str">
        <f t="shared" si="21"/>
        <v>-</v>
      </c>
      <c r="F104" s="230" t="s">
        <v>74</v>
      </c>
      <c r="G104" s="230"/>
      <c r="H104" s="230" t="s">
        <v>74</v>
      </c>
      <c r="I104" s="10">
        <f t="shared" si="25"/>
        <v>0</v>
      </c>
      <c r="J104" s="10">
        <f t="shared" si="26"/>
        <v>8</v>
      </c>
      <c r="K104" s="17" t="e">
        <f t="shared" si="22"/>
        <v>#N/A</v>
      </c>
      <c r="L104" s="17" t="e">
        <f t="shared" si="23"/>
        <v>#N/A</v>
      </c>
      <c r="M104" s="17" t="e">
        <f t="shared" ca="1" si="24"/>
        <v>#N/A</v>
      </c>
      <c r="N104" s="227"/>
      <c r="O104" s="227"/>
      <c r="P104" s="227" t="s">
        <v>74</v>
      </c>
    </row>
    <row r="105" spans="1:16" x14ac:dyDescent="0.2">
      <c r="A105" s="147"/>
      <c r="B105" s="152" t="s">
        <v>50</v>
      </c>
      <c r="C105" s="230" t="s">
        <v>135</v>
      </c>
      <c r="D105" s="230" t="s">
        <v>135</v>
      </c>
      <c r="E105" s="315" t="str">
        <f t="shared" si="21"/>
        <v>-</v>
      </c>
      <c r="F105" s="230" t="s">
        <v>74</v>
      </c>
      <c r="G105" s="230"/>
      <c r="H105" s="230" t="s">
        <v>74</v>
      </c>
      <c r="I105" s="10">
        <f t="shared" si="25"/>
        <v>0</v>
      </c>
      <c r="J105" s="10">
        <f t="shared" si="26"/>
        <v>9</v>
      </c>
      <c r="K105" s="17" t="e">
        <f t="shared" si="22"/>
        <v>#N/A</v>
      </c>
      <c r="L105" s="17" t="e">
        <f t="shared" si="23"/>
        <v>#N/A</v>
      </c>
      <c r="M105" s="17" t="e">
        <f t="shared" ca="1" si="24"/>
        <v>#N/A</v>
      </c>
      <c r="N105" s="227"/>
      <c r="O105" s="227"/>
      <c r="P105" s="227" t="s">
        <v>74</v>
      </c>
    </row>
    <row r="106" spans="1:16" x14ac:dyDescent="0.2">
      <c r="A106" s="147"/>
      <c r="B106" s="152" t="s">
        <v>50</v>
      </c>
      <c r="C106" s="230" t="s">
        <v>135</v>
      </c>
      <c r="D106" s="230" t="s">
        <v>135</v>
      </c>
      <c r="E106" s="315" t="str">
        <f t="shared" si="21"/>
        <v>-</v>
      </c>
      <c r="F106" s="230" t="s">
        <v>74</v>
      </c>
      <c r="G106" s="230"/>
      <c r="H106" s="230" t="s">
        <v>74</v>
      </c>
      <c r="I106" s="10">
        <f t="shared" si="25"/>
        <v>0</v>
      </c>
      <c r="J106" s="10">
        <f t="shared" si="26"/>
        <v>10</v>
      </c>
      <c r="K106" s="17" t="e">
        <f t="shared" si="22"/>
        <v>#N/A</v>
      </c>
      <c r="L106" s="17" t="e">
        <f t="shared" si="23"/>
        <v>#N/A</v>
      </c>
      <c r="M106" s="17" t="e">
        <f t="shared" ca="1" si="24"/>
        <v>#N/A</v>
      </c>
      <c r="N106" s="227"/>
      <c r="O106" s="227"/>
      <c r="P106" s="227" t="s">
        <v>74</v>
      </c>
    </row>
    <row r="107" spans="1:16" x14ac:dyDescent="0.2">
      <c r="A107" s="147"/>
      <c r="B107" s="152" t="s">
        <v>50</v>
      </c>
      <c r="C107" s="230" t="s">
        <v>135</v>
      </c>
      <c r="D107" s="230" t="s">
        <v>135</v>
      </c>
      <c r="E107" s="315" t="str">
        <f t="shared" si="21"/>
        <v>-</v>
      </c>
      <c r="F107" s="230" t="s">
        <v>74</v>
      </c>
      <c r="G107" s="230"/>
      <c r="H107" s="230" t="s">
        <v>74</v>
      </c>
      <c r="I107" s="10">
        <f t="shared" si="25"/>
        <v>0</v>
      </c>
      <c r="J107" s="10">
        <f t="shared" si="26"/>
        <v>11</v>
      </c>
      <c r="K107" s="17" t="e">
        <f t="shared" si="22"/>
        <v>#N/A</v>
      </c>
      <c r="L107" s="17" t="e">
        <f t="shared" si="23"/>
        <v>#N/A</v>
      </c>
      <c r="M107" s="17" t="e">
        <f t="shared" ca="1" si="24"/>
        <v>#N/A</v>
      </c>
      <c r="N107" s="227"/>
      <c r="O107" s="227"/>
      <c r="P107" s="227" t="s">
        <v>74</v>
      </c>
    </row>
    <row r="108" spans="1:16" x14ac:dyDescent="0.2">
      <c r="A108" s="147"/>
      <c r="B108" s="152" t="s">
        <v>50</v>
      </c>
      <c r="C108" s="230" t="s">
        <v>135</v>
      </c>
      <c r="D108" s="230" t="s">
        <v>135</v>
      </c>
      <c r="E108" s="315" t="str">
        <f t="shared" si="21"/>
        <v>-</v>
      </c>
      <c r="F108" s="230" t="s">
        <v>74</v>
      </c>
      <c r="G108" s="230"/>
      <c r="H108" s="230" t="s">
        <v>74</v>
      </c>
      <c r="I108" s="10">
        <f t="shared" si="25"/>
        <v>0</v>
      </c>
      <c r="J108" s="10">
        <f t="shared" si="26"/>
        <v>12</v>
      </c>
      <c r="K108" s="17" t="e">
        <f t="shared" si="22"/>
        <v>#N/A</v>
      </c>
      <c r="L108" s="17" t="e">
        <f t="shared" si="23"/>
        <v>#N/A</v>
      </c>
      <c r="M108" s="17" t="e">
        <f t="shared" ca="1" si="24"/>
        <v>#N/A</v>
      </c>
      <c r="N108" s="227"/>
      <c r="O108" s="227"/>
      <c r="P108" s="227" t="s">
        <v>74</v>
      </c>
    </row>
    <row r="109" spans="1:16" x14ac:dyDescent="0.2">
      <c r="A109" s="147"/>
      <c r="B109" s="152" t="s">
        <v>50</v>
      </c>
      <c r="C109" s="230" t="s">
        <v>135</v>
      </c>
      <c r="D109" s="230" t="s">
        <v>135</v>
      </c>
      <c r="E109" s="315" t="str">
        <f t="shared" si="21"/>
        <v>-</v>
      </c>
      <c r="F109" s="230" t="s">
        <v>74</v>
      </c>
      <c r="G109" s="230"/>
      <c r="H109" s="230" t="s">
        <v>74</v>
      </c>
      <c r="I109" s="10">
        <f t="shared" si="25"/>
        <v>0</v>
      </c>
      <c r="J109" s="10">
        <f t="shared" si="26"/>
        <v>13</v>
      </c>
      <c r="K109" s="17" t="e">
        <f t="shared" si="22"/>
        <v>#N/A</v>
      </c>
      <c r="L109" s="17" t="e">
        <f t="shared" si="23"/>
        <v>#N/A</v>
      </c>
      <c r="M109" s="17" t="e">
        <f t="shared" ca="1" si="24"/>
        <v>#N/A</v>
      </c>
      <c r="N109" s="227"/>
      <c r="O109" s="227"/>
      <c r="P109" s="227" t="s">
        <v>74</v>
      </c>
    </row>
    <row r="110" spans="1:16" x14ac:dyDescent="0.2">
      <c r="A110" s="147"/>
      <c r="B110" s="152" t="s">
        <v>50</v>
      </c>
      <c r="C110" s="230" t="s">
        <v>135</v>
      </c>
      <c r="D110" s="230" t="s">
        <v>135</v>
      </c>
      <c r="E110" s="315" t="str">
        <f t="shared" si="21"/>
        <v>-</v>
      </c>
      <c r="F110" s="230" t="s">
        <v>74</v>
      </c>
      <c r="G110" s="230"/>
      <c r="H110" s="230" t="s">
        <v>74</v>
      </c>
      <c r="I110" s="10">
        <f t="shared" si="25"/>
        <v>0</v>
      </c>
      <c r="J110" s="10">
        <f t="shared" si="26"/>
        <v>14</v>
      </c>
      <c r="K110" s="17" t="e">
        <f t="shared" si="22"/>
        <v>#N/A</v>
      </c>
      <c r="L110" s="17" t="e">
        <f t="shared" si="23"/>
        <v>#N/A</v>
      </c>
      <c r="M110" s="17" t="e">
        <f t="shared" ca="1" si="24"/>
        <v>#N/A</v>
      </c>
      <c r="N110" s="227"/>
      <c r="O110" s="227"/>
      <c r="P110" s="227" t="s">
        <v>74</v>
      </c>
    </row>
    <row r="111" spans="1:16" x14ac:dyDescent="0.2">
      <c r="A111" s="147"/>
      <c r="B111" s="152" t="s">
        <v>50</v>
      </c>
      <c r="C111" s="230" t="s">
        <v>135</v>
      </c>
      <c r="D111" s="230" t="s">
        <v>135</v>
      </c>
      <c r="E111" s="315" t="str">
        <f t="shared" si="21"/>
        <v>-</v>
      </c>
      <c r="F111" s="230" t="s">
        <v>74</v>
      </c>
      <c r="G111" s="230"/>
      <c r="H111" s="230" t="s">
        <v>74</v>
      </c>
      <c r="I111" s="10">
        <f t="shared" si="25"/>
        <v>0</v>
      </c>
      <c r="J111" s="10">
        <f t="shared" si="26"/>
        <v>15</v>
      </c>
      <c r="K111" s="17" t="e">
        <f t="shared" si="22"/>
        <v>#N/A</v>
      </c>
      <c r="L111" s="17" t="e">
        <f t="shared" si="23"/>
        <v>#N/A</v>
      </c>
      <c r="M111" s="17" t="e">
        <f t="shared" ca="1" si="24"/>
        <v>#N/A</v>
      </c>
      <c r="N111" s="227"/>
      <c r="O111" s="227"/>
      <c r="P111" s="227" t="s">
        <v>74</v>
      </c>
    </row>
    <row r="112" spans="1:16" x14ac:dyDescent="0.2">
      <c r="A112" s="147"/>
      <c r="B112" s="152" t="s">
        <v>50</v>
      </c>
      <c r="C112" s="230" t="s">
        <v>135</v>
      </c>
      <c r="D112" s="230" t="s">
        <v>135</v>
      </c>
      <c r="E112" s="315" t="str">
        <f t="shared" si="21"/>
        <v>-</v>
      </c>
      <c r="F112" s="230" t="s">
        <v>74</v>
      </c>
      <c r="G112" s="230"/>
      <c r="H112" s="230" t="s">
        <v>74</v>
      </c>
      <c r="I112" s="10">
        <f t="shared" si="25"/>
        <v>0</v>
      </c>
      <c r="J112" s="10">
        <f t="shared" si="26"/>
        <v>16</v>
      </c>
      <c r="K112" s="17" t="e">
        <f t="shared" si="22"/>
        <v>#N/A</v>
      </c>
      <c r="L112" s="17" t="e">
        <f t="shared" si="23"/>
        <v>#N/A</v>
      </c>
      <c r="M112" s="17" t="e">
        <f t="shared" ca="1" si="24"/>
        <v>#N/A</v>
      </c>
      <c r="N112" s="227"/>
      <c r="O112" s="227"/>
      <c r="P112" s="227" t="s">
        <v>74</v>
      </c>
    </row>
    <row r="113" spans="1:16" x14ac:dyDescent="0.2">
      <c r="A113" s="147"/>
      <c r="B113" s="152" t="s">
        <v>50</v>
      </c>
      <c r="C113" s="230" t="s">
        <v>135</v>
      </c>
      <c r="D113" s="230" t="s">
        <v>135</v>
      </c>
      <c r="E113" s="315" t="str">
        <f t="shared" ref="E113:E144" si="27">IF(P113="-",P113,_xlfn.CONCAT(C113,":",P113))</f>
        <v>-</v>
      </c>
      <c r="F113" s="230" t="s">
        <v>74</v>
      </c>
      <c r="G113" s="230"/>
      <c r="H113" s="230" t="s">
        <v>74</v>
      </c>
      <c r="I113" s="10">
        <f t="shared" si="25"/>
        <v>0</v>
      </c>
      <c r="J113" s="10">
        <f t="shared" si="26"/>
        <v>17</v>
      </c>
      <c r="K113" s="17" t="e">
        <f t="shared" si="22"/>
        <v>#N/A</v>
      </c>
      <c r="L113" s="17" t="e">
        <f t="shared" si="23"/>
        <v>#N/A</v>
      </c>
      <c r="M113" s="17" t="e">
        <f t="shared" ca="1" si="24"/>
        <v>#N/A</v>
      </c>
      <c r="N113" s="227"/>
      <c r="O113" s="227"/>
      <c r="P113" s="227" t="s">
        <v>74</v>
      </c>
    </row>
    <row r="114" spans="1:16" x14ac:dyDescent="0.2">
      <c r="A114" s="147"/>
      <c r="B114" s="152" t="s">
        <v>50</v>
      </c>
      <c r="C114" s="230" t="s">
        <v>135</v>
      </c>
      <c r="D114" s="230" t="s">
        <v>135</v>
      </c>
      <c r="E114" s="315" t="str">
        <f t="shared" si="27"/>
        <v>-</v>
      </c>
      <c r="F114" s="230" t="s">
        <v>74</v>
      </c>
      <c r="G114" s="230"/>
      <c r="H114" s="230" t="s">
        <v>74</v>
      </c>
      <c r="I114" s="10">
        <f t="shared" si="25"/>
        <v>0</v>
      </c>
      <c r="J114" s="10">
        <f t="shared" si="26"/>
        <v>18</v>
      </c>
      <c r="K114" s="17" t="e">
        <f t="shared" si="22"/>
        <v>#N/A</v>
      </c>
      <c r="L114" s="17" t="e">
        <f t="shared" si="23"/>
        <v>#N/A</v>
      </c>
      <c r="M114" s="17" t="e">
        <f t="shared" ca="1" si="24"/>
        <v>#N/A</v>
      </c>
      <c r="N114" s="227"/>
      <c r="O114" s="227"/>
      <c r="P114" s="227" t="s">
        <v>74</v>
      </c>
    </row>
    <row r="115" spans="1:16" x14ac:dyDescent="0.2">
      <c r="A115" s="147"/>
      <c r="B115" s="152" t="s">
        <v>50</v>
      </c>
      <c r="C115" s="230" t="s">
        <v>135</v>
      </c>
      <c r="D115" s="230" t="s">
        <v>135</v>
      </c>
      <c r="E115" s="315" t="str">
        <f t="shared" si="27"/>
        <v>-</v>
      </c>
      <c r="F115" s="230" t="s">
        <v>74</v>
      </c>
      <c r="G115" s="230"/>
      <c r="H115" s="230" t="s">
        <v>74</v>
      </c>
      <c r="I115" s="10">
        <f t="shared" si="25"/>
        <v>0</v>
      </c>
      <c r="J115" s="10">
        <f t="shared" si="26"/>
        <v>19</v>
      </c>
      <c r="K115" s="17" t="e">
        <f t="shared" si="22"/>
        <v>#N/A</v>
      </c>
      <c r="L115" s="17" t="e">
        <f t="shared" si="23"/>
        <v>#N/A</v>
      </c>
      <c r="M115" s="17" t="e">
        <f t="shared" ca="1" si="24"/>
        <v>#N/A</v>
      </c>
      <c r="N115" s="227"/>
      <c r="O115" s="227"/>
      <c r="P115" s="227" t="s">
        <v>74</v>
      </c>
    </row>
    <row r="116" spans="1:16" x14ac:dyDescent="0.2">
      <c r="A116" s="147"/>
      <c r="B116" s="152" t="s">
        <v>50</v>
      </c>
      <c r="C116" s="230" t="s">
        <v>135</v>
      </c>
      <c r="D116" s="230" t="s">
        <v>135</v>
      </c>
      <c r="E116" s="315" t="str">
        <f t="shared" si="27"/>
        <v>-</v>
      </c>
      <c r="F116" s="230" t="s">
        <v>74</v>
      </c>
      <c r="G116" s="230"/>
      <c r="H116" s="230" t="s">
        <v>74</v>
      </c>
      <c r="I116" s="10">
        <f t="shared" si="25"/>
        <v>0</v>
      </c>
      <c r="J116" s="10">
        <f t="shared" si="26"/>
        <v>20</v>
      </c>
      <c r="K116" s="17" t="e">
        <f t="shared" si="22"/>
        <v>#N/A</v>
      </c>
      <c r="L116" s="17" t="e">
        <f t="shared" si="23"/>
        <v>#N/A</v>
      </c>
      <c r="M116" s="17" t="e">
        <f t="shared" ca="1" si="24"/>
        <v>#N/A</v>
      </c>
      <c r="N116" s="227"/>
      <c r="O116" s="227"/>
      <c r="P116" s="227" t="s">
        <v>74</v>
      </c>
    </row>
    <row r="117" spans="1:16" x14ac:dyDescent="0.2">
      <c r="A117" s="147"/>
      <c r="B117" s="152" t="s">
        <v>50</v>
      </c>
      <c r="C117" s="230" t="s">
        <v>135</v>
      </c>
      <c r="D117" s="230" t="s">
        <v>135</v>
      </c>
      <c r="E117" s="315" t="str">
        <f t="shared" si="27"/>
        <v>-</v>
      </c>
      <c r="F117" s="230" t="s">
        <v>74</v>
      </c>
      <c r="G117" s="230"/>
      <c r="H117" s="230" t="s">
        <v>74</v>
      </c>
      <c r="I117" s="10">
        <f t="shared" si="25"/>
        <v>0</v>
      </c>
      <c r="J117" s="10">
        <f t="shared" si="26"/>
        <v>21</v>
      </c>
      <c r="K117" s="17" t="e">
        <f t="shared" si="22"/>
        <v>#N/A</v>
      </c>
      <c r="L117" s="17" t="e">
        <f t="shared" si="23"/>
        <v>#N/A</v>
      </c>
      <c r="M117" s="17" t="e">
        <f t="shared" ca="1" si="24"/>
        <v>#N/A</v>
      </c>
      <c r="N117" s="227"/>
      <c r="O117" s="227"/>
      <c r="P117" s="227" t="s">
        <v>74</v>
      </c>
    </row>
    <row r="118" spans="1:16" x14ac:dyDescent="0.2">
      <c r="A118" s="147"/>
      <c r="B118" s="152" t="s">
        <v>50</v>
      </c>
      <c r="C118" s="230" t="s">
        <v>135</v>
      </c>
      <c r="D118" s="230" t="s">
        <v>135</v>
      </c>
      <c r="E118" s="315" t="str">
        <f t="shared" si="27"/>
        <v>-</v>
      </c>
      <c r="F118" s="230" t="s">
        <v>74</v>
      </c>
      <c r="G118" s="230"/>
      <c r="H118" s="230" t="s">
        <v>74</v>
      </c>
      <c r="I118" s="10">
        <f t="shared" si="25"/>
        <v>0</v>
      </c>
      <c r="J118" s="10">
        <f t="shared" si="26"/>
        <v>22</v>
      </c>
      <c r="K118" s="17" t="e">
        <f t="shared" si="22"/>
        <v>#N/A</v>
      </c>
      <c r="L118" s="17" t="e">
        <f t="shared" si="23"/>
        <v>#N/A</v>
      </c>
      <c r="M118" s="17" t="e">
        <f t="shared" ca="1" si="24"/>
        <v>#N/A</v>
      </c>
      <c r="N118" s="227"/>
      <c r="O118" s="227"/>
      <c r="P118" s="227" t="s">
        <v>74</v>
      </c>
    </row>
    <row r="119" spans="1:16" x14ac:dyDescent="0.2">
      <c r="A119" s="147"/>
      <c r="B119" s="152" t="s">
        <v>50</v>
      </c>
      <c r="C119" s="230" t="s">
        <v>135</v>
      </c>
      <c r="D119" s="230" t="s">
        <v>135</v>
      </c>
      <c r="E119" s="315" t="str">
        <f t="shared" si="27"/>
        <v>-</v>
      </c>
      <c r="F119" s="230" t="s">
        <v>74</v>
      </c>
      <c r="G119" s="230"/>
      <c r="H119" s="230" t="s">
        <v>74</v>
      </c>
      <c r="I119" s="10">
        <f t="shared" si="25"/>
        <v>0</v>
      </c>
      <c r="J119" s="10">
        <f t="shared" si="26"/>
        <v>23</v>
      </c>
      <c r="K119" s="17" t="e">
        <f t="shared" si="22"/>
        <v>#N/A</v>
      </c>
      <c r="L119" s="17" t="e">
        <f t="shared" si="23"/>
        <v>#N/A</v>
      </c>
      <c r="M119" s="17" t="e">
        <f t="shared" ca="1" si="24"/>
        <v>#N/A</v>
      </c>
      <c r="N119" s="227"/>
      <c r="O119" s="227"/>
      <c r="P119" s="227" t="s">
        <v>74</v>
      </c>
    </row>
    <row r="120" spans="1:16" x14ac:dyDescent="0.2">
      <c r="A120" s="147"/>
      <c r="B120" s="152" t="s">
        <v>50</v>
      </c>
      <c r="C120" s="230" t="s">
        <v>135</v>
      </c>
      <c r="D120" s="230" t="s">
        <v>135</v>
      </c>
      <c r="E120" s="315" t="str">
        <f t="shared" si="27"/>
        <v>-</v>
      </c>
      <c r="F120" s="230" t="s">
        <v>74</v>
      </c>
      <c r="G120" s="230"/>
      <c r="H120" s="230" t="s">
        <v>74</v>
      </c>
      <c r="I120" s="10">
        <f t="shared" si="25"/>
        <v>0</v>
      </c>
      <c r="J120" s="10">
        <f t="shared" si="26"/>
        <v>24</v>
      </c>
      <c r="K120" s="17" t="e">
        <f t="shared" si="22"/>
        <v>#N/A</v>
      </c>
      <c r="L120" s="17" t="e">
        <f t="shared" si="23"/>
        <v>#N/A</v>
      </c>
      <c r="M120" s="17" t="e">
        <f t="shared" ca="1" si="24"/>
        <v>#N/A</v>
      </c>
      <c r="N120" s="227"/>
      <c r="O120" s="227"/>
      <c r="P120" s="227" t="s">
        <v>74</v>
      </c>
    </row>
    <row r="121" spans="1:16" x14ac:dyDescent="0.2">
      <c r="A121" s="147"/>
      <c r="B121" s="152" t="s">
        <v>50</v>
      </c>
      <c r="C121" s="230" t="s">
        <v>135</v>
      </c>
      <c r="D121" s="230" t="s">
        <v>135</v>
      </c>
      <c r="E121" s="315" t="str">
        <f t="shared" si="27"/>
        <v>-</v>
      </c>
      <c r="F121" s="230" t="s">
        <v>74</v>
      </c>
      <c r="G121" s="230"/>
      <c r="H121" s="230" t="s">
        <v>74</v>
      </c>
      <c r="I121" s="10">
        <f t="shared" si="25"/>
        <v>0</v>
      </c>
      <c r="J121" s="10">
        <f t="shared" si="26"/>
        <v>25</v>
      </c>
      <c r="K121" s="17" t="e">
        <f t="shared" si="22"/>
        <v>#N/A</v>
      </c>
      <c r="L121" s="17" t="e">
        <f t="shared" si="23"/>
        <v>#N/A</v>
      </c>
      <c r="M121" s="17" t="e">
        <f t="shared" ca="1" si="24"/>
        <v>#N/A</v>
      </c>
      <c r="N121" s="227"/>
      <c r="O121" s="227"/>
      <c r="P121" s="227" t="s">
        <v>74</v>
      </c>
    </row>
    <row r="122" spans="1:16" x14ac:dyDescent="0.2">
      <c r="A122" s="147"/>
      <c r="B122" s="152" t="s">
        <v>50</v>
      </c>
      <c r="C122" s="230" t="s">
        <v>135</v>
      </c>
      <c r="D122" s="230" t="s">
        <v>135</v>
      </c>
      <c r="E122" s="315" t="str">
        <f t="shared" si="27"/>
        <v>-</v>
      </c>
      <c r="F122" s="230" t="s">
        <v>74</v>
      </c>
      <c r="G122" s="230"/>
      <c r="H122" s="230" t="s">
        <v>74</v>
      </c>
      <c r="I122" s="10">
        <f t="shared" si="25"/>
        <v>0</v>
      </c>
      <c r="J122" s="10">
        <f t="shared" si="26"/>
        <v>26</v>
      </c>
      <c r="K122" s="17" t="e">
        <f t="shared" si="22"/>
        <v>#N/A</v>
      </c>
      <c r="L122" s="17" t="e">
        <f t="shared" si="23"/>
        <v>#N/A</v>
      </c>
      <c r="M122" s="17" t="e">
        <f t="shared" ca="1" si="24"/>
        <v>#N/A</v>
      </c>
      <c r="N122" s="227"/>
      <c r="O122" s="227"/>
      <c r="P122" s="227" t="s">
        <v>74</v>
      </c>
    </row>
    <row r="123" spans="1:16" x14ac:dyDescent="0.2">
      <c r="A123" s="147"/>
      <c r="B123" s="152" t="s">
        <v>50</v>
      </c>
      <c r="C123" s="230" t="s">
        <v>135</v>
      </c>
      <c r="D123" s="230" t="s">
        <v>135</v>
      </c>
      <c r="E123" s="315" t="str">
        <f t="shared" si="27"/>
        <v>-</v>
      </c>
      <c r="F123" s="230" t="s">
        <v>74</v>
      </c>
      <c r="G123" s="230"/>
      <c r="H123" s="230" t="s">
        <v>74</v>
      </c>
      <c r="I123" s="10">
        <f t="shared" si="25"/>
        <v>0</v>
      </c>
      <c r="J123" s="10">
        <f t="shared" si="26"/>
        <v>27</v>
      </c>
      <c r="K123" s="17" t="e">
        <f t="shared" si="22"/>
        <v>#N/A</v>
      </c>
      <c r="L123" s="17" t="e">
        <f t="shared" si="23"/>
        <v>#N/A</v>
      </c>
      <c r="M123" s="17" t="e">
        <f t="shared" ca="1" si="24"/>
        <v>#N/A</v>
      </c>
      <c r="N123" s="227"/>
      <c r="O123" s="227"/>
      <c r="P123" s="227" t="s">
        <v>74</v>
      </c>
    </row>
    <row r="124" spans="1:16" x14ac:dyDescent="0.2">
      <c r="A124" s="147"/>
      <c r="B124" s="152" t="s">
        <v>50</v>
      </c>
      <c r="C124" s="230" t="s">
        <v>135</v>
      </c>
      <c r="D124" s="230" t="s">
        <v>135</v>
      </c>
      <c r="E124" s="315" t="str">
        <f t="shared" si="27"/>
        <v>-</v>
      </c>
      <c r="F124" s="230" t="s">
        <v>74</v>
      </c>
      <c r="G124" s="230"/>
      <c r="H124" s="230" t="s">
        <v>74</v>
      </c>
      <c r="I124" s="10">
        <f t="shared" si="25"/>
        <v>0</v>
      </c>
      <c r="J124" s="10">
        <f t="shared" si="26"/>
        <v>28</v>
      </c>
      <c r="K124" s="17" t="e">
        <f t="shared" si="22"/>
        <v>#N/A</v>
      </c>
      <c r="L124" s="17" t="e">
        <f t="shared" si="23"/>
        <v>#N/A</v>
      </c>
      <c r="M124" s="17" t="e">
        <f t="shared" ca="1" si="24"/>
        <v>#N/A</v>
      </c>
      <c r="N124" s="227"/>
      <c r="O124" s="227"/>
      <c r="P124" s="227" t="s">
        <v>74</v>
      </c>
    </row>
    <row r="125" spans="1:16" x14ac:dyDescent="0.2">
      <c r="A125" s="147"/>
      <c r="B125" s="152" t="s">
        <v>50</v>
      </c>
      <c r="C125" s="230" t="s">
        <v>135</v>
      </c>
      <c r="D125" s="230" t="s">
        <v>135</v>
      </c>
      <c r="E125" s="315" t="str">
        <f t="shared" si="27"/>
        <v>-</v>
      </c>
      <c r="F125" s="230" t="s">
        <v>74</v>
      </c>
      <c r="G125" s="230"/>
      <c r="H125" s="230" t="s">
        <v>74</v>
      </c>
      <c r="I125" s="10">
        <f t="shared" si="25"/>
        <v>0</v>
      </c>
      <c r="J125" s="10">
        <f t="shared" si="26"/>
        <v>29</v>
      </c>
      <c r="K125" s="17" t="e">
        <f t="shared" si="22"/>
        <v>#N/A</v>
      </c>
      <c r="L125" s="17" t="e">
        <f t="shared" si="23"/>
        <v>#N/A</v>
      </c>
      <c r="M125" s="17" t="e">
        <f t="shared" ca="1" si="24"/>
        <v>#N/A</v>
      </c>
      <c r="N125" s="227"/>
      <c r="O125" s="227"/>
      <c r="P125" s="227" t="s">
        <v>74</v>
      </c>
    </row>
    <row r="126" spans="1:16" x14ac:dyDescent="0.2">
      <c r="A126" s="147"/>
      <c r="B126" s="152" t="s">
        <v>50</v>
      </c>
      <c r="C126" s="230" t="s">
        <v>135</v>
      </c>
      <c r="D126" s="230" t="s">
        <v>135</v>
      </c>
      <c r="E126" s="315" t="str">
        <f t="shared" si="27"/>
        <v>-</v>
      </c>
      <c r="F126" s="230" t="s">
        <v>74</v>
      </c>
      <c r="G126" s="230"/>
      <c r="H126" s="230" t="s">
        <v>74</v>
      </c>
      <c r="I126" s="10">
        <f t="shared" si="25"/>
        <v>0</v>
      </c>
      <c r="J126" s="10">
        <f t="shared" si="26"/>
        <v>30</v>
      </c>
      <c r="K126" s="17" t="e">
        <f t="shared" si="22"/>
        <v>#N/A</v>
      </c>
      <c r="L126" s="17" t="e">
        <f t="shared" si="23"/>
        <v>#N/A</v>
      </c>
      <c r="M126" s="17" t="e">
        <f t="shared" ca="1" si="24"/>
        <v>#N/A</v>
      </c>
      <c r="N126" s="227"/>
      <c r="O126" s="227"/>
      <c r="P126" s="227" t="s">
        <v>74</v>
      </c>
    </row>
    <row r="127" spans="1:16" x14ac:dyDescent="0.2">
      <c r="A127" s="147"/>
      <c r="B127" s="152" t="s">
        <v>50</v>
      </c>
      <c r="C127" s="230" t="s">
        <v>135</v>
      </c>
      <c r="D127" s="230" t="s">
        <v>135</v>
      </c>
      <c r="E127" s="315" t="str">
        <f t="shared" si="27"/>
        <v>-</v>
      </c>
      <c r="F127" s="230" t="s">
        <v>74</v>
      </c>
      <c r="G127" s="230"/>
      <c r="H127" s="230" t="s">
        <v>74</v>
      </c>
      <c r="I127" s="10">
        <f t="shared" si="25"/>
        <v>0</v>
      </c>
      <c r="J127" s="10">
        <f t="shared" si="26"/>
        <v>31</v>
      </c>
      <c r="K127" s="17" t="e">
        <f t="shared" si="22"/>
        <v>#N/A</v>
      </c>
      <c r="L127" s="17" t="e">
        <f t="shared" si="23"/>
        <v>#N/A</v>
      </c>
      <c r="M127" s="17" t="e">
        <f t="shared" ca="1" si="24"/>
        <v>#N/A</v>
      </c>
      <c r="N127" s="227"/>
      <c r="O127" s="227"/>
      <c r="P127" s="227" t="s">
        <v>74</v>
      </c>
    </row>
    <row r="128" spans="1:16" ht="16" thickBot="1" x14ac:dyDescent="0.25">
      <c r="A128" s="147"/>
      <c r="B128" s="136" t="s">
        <v>50</v>
      </c>
      <c r="C128" s="137" t="s">
        <v>135</v>
      </c>
      <c r="D128" s="137" t="s">
        <v>135</v>
      </c>
      <c r="E128" s="317" t="str">
        <f t="shared" si="27"/>
        <v>-</v>
      </c>
      <c r="F128" s="137" t="s">
        <v>74</v>
      </c>
      <c r="G128" s="137"/>
      <c r="H128" s="137" t="s">
        <v>74</v>
      </c>
      <c r="I128" s="12">
        <f t="shared" si="25"/>
        <v>0</v>
      </c>
      <c r="J128" s="12">
        <f t="shared" si="26"/>
        <v>32</v>
      </c>
      <c r="K128" s="18" t="e">
        <f t="shared" si="22"/>
        <v>#N/A</v>
      </c>
      <c r="L128" s="18" t="e">
        <f t="shared" si="23"/>
        <v>#N/A</v>
      </c>
      <c r="M128" s="18" t="e">
        <f t="shared" ca="1" si="24"/>
        <v>#N/A</v>
      </c>
      <c r="N128" s="228"/>
      <c r="O128" s="228"/>
      <c r="P128" s="228" t="s">
        <v>74</v>
      </c>
    </row>
    <row r="129" spans="1:16" x14ac:dyDescent="0.2">
      <c r="A129" s="147"/>
      <c r="B129" s="255" t="s">
        <v>50</v>
      </c>
      <c r="C129" s="256" t="s">
        <v>135</v>
      </c>
      <c r="D129" s="256" t="s">
        <v>135</v>
      </c>
      <c r="E129" s="320" t="str">
        <f t="shared" si="27"/>
        <v>-</v>
      </c>
      <c r="F129" s="256" t="s">
        <v>74</v>
      </c>
      <c r="G129" s="325"/>
      <c r="H129" s="256" t="s">
        <v>74</v>
      </c>
      <c r="I129" s="254">
        <f t="shared" si="25"/>
        <v>0</v>
      </c>
      <c r="J129" s="5">
        <v>1</v>
      </c>
      <c r="K129" s="15" t="e">
        <f t="shared" si="22"/>
        <v>#N/A</v>
      </c>
      <c r="L129" s="15" t="e">
        <f t="shared" si="23"/>
        <v>#N/A</v>
      </c>
      <c r="M129" s="15" t="e">
        <f t="shared" ca="1" si="24"/>
        <v>#N/A</v>
      </c>
      <c r="N129" s="226"/>
      <c r="O129" s="226"/>
      <c r="P129" s="226" t="s">
        <v>74</v>
      </c>
    </row>
    <row r="130" spans="1:16" x14ac:dyDescent="0.2">
      <c r="A130" s="147"/>
      <c r="B130" s="152" t="s">
        <v>50</v>
      </c>
      <c r="C130" s="230" t="s">
        <v>135</v>
      </c>
      <c r="D130" s="230" t="s">
        <v>135</v>
      </c>
      <c r="E130" s="315" t="str">
        <f t="shared" si="27"/>
        <v>-</v>
      </c>
      <c r="F130" s="230" t="s">
        <v>74</v>
      </c>
      <c r="G130" s="230"/>
      <c r="H130" s="230" t="s">
        <v>74</v>
      </c>
      <c r="I130" s="10">
        <f t="shared" si="25"/>
        <v>0</v>
      </c>
      <c r="J130" s="6">
        <f t="shared" ref="J130:J160" si="28">IF(AND(H130=H129,B130=B129), J129+1,1)</f>
        <v>2</v>
      </c>
      <c r="K130" s="16" t="e">
        <f t="shared" si="22"/>
        <v>#N/A</v>
      </c>
      <c r="L130" s="16" t="e">
        <f t="shared" si="23"/>
        <v>#N/A</v>
      </c>
      <c r="M130" s="16" t="e">
        <f t="shared" ca="1" si="24"/>
        <v>#N/A</v>
      </c>
      <c r="N130" s="227"/>
      <c r="O130" s="227"/>
      <c r="P130" s="227" t="s">
        <v>74</v>
      </c>
    </row>
    <row r="131" spans="1:16" x14ac:dyDescent="0.2">
      <c r="A131" s="147"/>
      <c r="B131" s="152" t="s">
        <v>50</v>
      </c>
      <c r="C131" s="230" t="s">
        <v>135</v>
      </c>
      <c r="D131" s="230" t="s">
        <v>135</v>
      </c>
      <c r="E131" s="315" t="str">
        <f t="shared" si="27"/>
        <v>-</v>
      </c>
      <c r="F131" s="230" t="s">
        <v>74</v>
      </c>
      <c r="G131" s="230"/>
      <c r="H131" s="230" t="s">
        <v>74</v>
      </c>
      <c r="I131" s="10">
        <f t="shared" si="25"/>
        <v>0</v>
      </c>
      <c r="J131" s="6">
        <f t="shared" si="28"/>
        <v>3</v>
      </c>
      <c r="K131" s="16" t="e">
        <f t="shared" si="22"/>
        <v>#N/A</v>
      </c>
      <c r="L131" s="16" t="e">
        <f t="shared" si="23"/>
        <v>#N/A</v>
      </c>
      <c r="M131" s="16" t="e">
        <f t="shared" ca="1" si="24"/>
        <v>#N/A</v>
      </c>
      <c r="N131" s="227"/>
      <c r="O131" s="227"/>
      <c r="P131" s="227" t="s">
        <v>74</v>
      </c>
    </row>
    <row r="132" spans="1:16" x14ac:dyDescent="0.2">
      <c r="A132" s="147"/>
      <c r="B132" s="152" t="s">
        <v>50</v>
      </c>
      <c r="C132" s="230" t="s">
        <v>135</v>
      </c>
      <c r="D132" s="230" t="s">
        <v>135</v>
      </c>
      <c r="E132" s="315" t="str">
        <f t="shared" si="27"/>
        <v>-</v>
      </c>
      <c r="F132" s="230" t="s">
        <v>74</v>
      </c>
      <c r="G132" s="230"/>
      <c r="H132" s="230" t="s">
        <v>74</v>
      </c>
      <c r="I132" s="10">
        <f t="shared" si="25"/>
        <v>0</v>
      </c>
      <c r="J132" s="6">
        <f t="shared" si="28"/>
        <v>4</v>
      </c>
      <c r="K132" s="16" t="e">
        <f t="shared" si="22"/>
        <v>#N/A</v>
      </c>
      <c r="L132" s="16" t="e">
        <f t="shared" si="23"/>
        <v>#N/A</v>
      </c>
      <c r="M132" s="16" t="e">
        <f t="shared" ca="1" si="24"/>
        <v>#N/A</v>
      </c>
      <c r="N132" s="227"/>
      <c r="O132" s="227"/>
      <c r="P132" s="227" t="s">
        <v>74</v>
      </c>
    </row>
    <row r="133" spans="1:16" x14ac:dyDescent="0.2">
      <c r="A133" s="147"/>
      <c r="B133" s="152" t="s">
        <v>50</v>
      </c>
      <c r="C133" s="230" t="s">
        <v>135</v>
      </c>
      <c r="D133" s="230" t="s">
        <v>135</v>
      </c>
      <c r="E133" s="315" t="str">
        <f t="shared" si="27"/>
        <v>-</v>
      </c>
      <c r="F133" s="230" t="s">
        <v>74</v>
      </c>
      <c r="G133" s="230"/>
      <c r="H133" s="230" t="s">
        <v>74</v>
      </c>
      <c r="I133" s="10">
        <f t="shared" si="25"/>
        <v>0</v>
      </c>
      <c r="J133" s="10">
        <f t="shared" si="28"/>
        <v>5</v>
      </c>
      <c r="K133" s="17" t="e">
        <f t="shared" si="22"/>
        <v>#N/A</v>
      </c>
      <c r="L133" s="17" t="e">
        <f t="shared" si="23"/>
        <v>#N/A</v>
      </c>
      <c r="M133" s="17" t="e">
        <f t="shared" ca="1" si="24"/>
        <v>#N/A</v>
      </c>
      <c r="N133" s="227"/>
      <c r="O133" s="227"/>
      <c r="P133" s="227" t="s">
        <v>74</v>
      </c>
    </row>
    <row r="134" spans="1:16" x14ac:dyDescent="0.2">
      <c r="A134" s="147"/>
      <c r="B134" s="152" t="s">
        <v>50</v>
      </c>
      <c r="C134" s="230" t="s">
        <v>135</v>
      </c>
      <c r="D134" s="230" t="s">
        <v>135</v>
      </c>
      <c r="E134" s="315" t="str">
        <f t="shared" si="27"/>
        <v>-</v>
      </c>
      <c r="F134" s="230" t="s">
        <v>74</v>
      </c>
      <c r="G134" s="230"/>
      <c r="H134" s="230" t="s">
        <v>74</v>
      </c>
      <c r="I134" s="10">
        <f t="shared" si="25"/>
        <v>0</v>
      </c>
      <c r="J134" s="10">
        <f t="shared" si="28"/>
        <v>6</v>
      </c>
      <c r="K134" s="17" t="e">
        <f t="shared" si="22"/>
        <v>#N/A</v>
      </c>
      <c r="L134" s="17" t="e">
        <f t="shared" si="23"/>
        <v>#N/A</v>
      </c>
      <c r="M134" s="17" t="e">
        <f t="shared" ca="1" si="24"/>
        <v>#N/A</v>
      </c>
      <c r="N134" s="227"/>
      <c r="O134" s="227"/>
      <c r="P134" s="227" t="s">
        <v>74</v>
      </c>
    </row>
    <row r="135" spans="1:16" x14ac:dyDescent="0.2">
      <c r="A135" s="147"/>
      <c r="B135" s="152" t="s">
        <v>50</v>
      </c>
      <c r="C135" s="230" t="s">
        <v>135</v>
      </c>
      <c r="D135" s="230" t="s">
        <v>135</v>
      </c>
      <c r="E135" s="315" t="str">
        <f t="shared" si="27"/>
        <v>-</v>
      </c>
      <c r="F135" s="230" t="s">
        <v>74</v>
      </c>
      <c r="G135" s="230"/>
      <c r="H135" s="230" t="s">
        <v>74</v>
      </c>
      <c r="I135" s="10">
        <f t="shared" si="25"/>
        <v>0</v>
      </c>
      <c r="J135" s="10">
        <f t="shared" si="28"/>
        <v>7</v>
      </c>
      <c r="K135" s="17" t="e">
        <f t="shared" si="22"/>
        <v>#N/A</v>
      </c>
      <c r="L135" s="17" t="e">
        <f t="shared" si="23"/>
        <v>#N/A</v>
      </c>
      <c r="M135" s="17" t="e">
        <f t="shared" ca="1" si="24"/>
        <v>#N/A</v>
      </c>
      <c r="N135" s="227"/>
      <c r="O135" s="227"/>
      <c r="P135" s="227" t="s">
        <v>74</v>
      </c>
    </row>
    <row r="136" spans="1:16" x14ac:dyDescent="0.2">
      <c r="A136" s="147"/>
      <c r="B136" s="152" t="s">
        <v>50</v>
      </c>
      <c r="C136" s="230" t="s">
        <v>135</v>
      </c>
      <c r="D136" s="230" t="s">
        <v>135</v>
      </c>
      <c r="E136" s="315" t="str">
        <f t="shared" si="27"/>
        <v>-</v>
      </c>
      <c r="F136" s="230" t="s">
        <v>74</v>
      </c>
      <c r="G136" s="230"/>
      <c r="H136" s="230" t="s">
        <v>74</v>
      </c>
      <c r="I136" s="10">
        <f t="shared" si="25"/>
        <v>0</v>
      </c>
      <c r="J136" s="10">
        <f t="shared" si="28"/>
        <v>8</v>
      </c>
      <c r="K136" s="17" t="e">
        <f t="shared" si="22"/>
        <v>#N/A</v>
      </c>
      <c r="L136" s="17" t="e">
        <f t="shared" si="23"/>
        <v>#N/A</v>
      </c>
      <c r="M136" s="17" t="e">
        <f t="shared" ca="1" si="24"/>
        <v>#N/A</v>
      </c>
      <c r="N136" s="227"/>
      <c r="O136" s="227"/>
      <c r="P136" s="227" t="s">
        <v>74</v>
      </c>
    </row>
    <row r="137" spans="1:16" x14ac:dyDescent="0.2">
      <c r="A137" s="147"/>
      <c r="B137" s="152" t="s">
        <v>50</v>
      </c>
      <c r="C137" s="230" t="s">
        <v>135</v>
      </c>
      <c r="D137" s="230" t="s">
        <v>135</v>
      </c>
      <c r="E137" s="315" t="str">
        <f t="shared" si="27"/>
        <v>-</v>
      </c>
      <c r="F137" s="230" t="s">
        <v>74</v>
      </c>
      <c r="G137" s="230"/>
      <c r="H137" s="230" t="s">
        <v>74</v>
      </c>
      <c r="I137" s="10">
        <f t="shared" si="25"/>
        <v>0</v>
      </c>
      <c r="J137" s="10">
        <f t="shared" si="28"/>
        <v>9</v>
      </c>
      <c r="K137" s="17" t="e">
        <f t="shared" si="22"/>
        <v>#N/A</v>
      </c>
      <c r="L137" s="17" t="e">
        <f t="shared" si="23"/>
        <v>#N/A</v>
      </c>
      <c r="M137" s="17" t="e">
        <f t="shared" ca="1" si="24"/>
        <v>#N/A</v>
      </c>
      <c r="N137" s="227"/>
      <c r="O137" s="227"/>
      <c r="P137" s="227" t="s">
        <v>74</v>
      </c>
    </row>
    <row r="138" spans="1:16" x14ac:dyDescent="0.2">
      <c r="A138" s="147"/>
      <c r="B138" s="152" t="s">
        <v>50</v>
      </c>
      <c r="C138" s="230" t="s">
        <v>135</v>
      </c>
      <c r="D138" s="230" t="s">
        <v>135</v>
      </c>
      <c r="E138" s="315" t="str">
        <f t="shared" si="27"/>
        <v>-</v>
      </c>
      <c r="F138" s="230" t="s">
        <v>74</v>
      </c>
      <c r="G138" s="230"/>
      <c r="H138" s="230" t="s">
        <v>74</v>
      </c>
      <c r="I138" s="10">
        <f t="shared" si="25"/>
        <v>0</v>
      </c>
      <c r="J138" s="10">
        <f t="shared" si="28"/>
        <v>10</v>
      </c>
      <c r="K138" s="17" t="e">
        <f t="shared" si="22"/>
        <v>#N/A</v>
      </c>
      <c r="L138" s="17" t="e">
        <f t="shared" si="23"/>
        <v>#N/A</v>
      </c>
      <c r="M138" s="17" t="e">
        <f t="shared" ca="1" si="24"/>
        <v>#N/A</v>
      </c>
      <c r="N138" s="227"/>
      <c r="O138" s="227"/>
      <c r="P138" s="227" t="s">
        <v>74</v>
      </c>
    </row>
    <row r="139" spans="1:16" x14ac:dyDescent="0.2">
      <c r="A139" s="147"/>
      <c r="B139" s="152" t="s">
        <v>50</v>
      </c>
      <c r="C139" s="230" t="s">
        <v>135</v>
      </c>
      <c r="D139" s="230" t="s">
        <v>135</v>
      </c>
      <c r="E139" s="315" t="str">
        <f t="shared" si="27"/>
        <v>-</v>
      </c>
      <c r="F139" s="230" t="s">
        <v>74</v>
      </c>
      <c r="G139" s="230"/>
      <c r="H139" s="230" t="s">
        <v>74</v>
      </c>
      <c r="I139" s="10">
        <f t="shared" si="25"/>
        <v>0</v>
      </c>
      <c r="J139" s="10">
        <f t="shared" si="28"/>
        <v>11</v>
      </c>
      <c r="K139" s="17" t="e">
        <f t="shared" si="22"/>
        <v>#N/A</v>
      </c>
      <c r="L139" s="17" t="e">
        <f t="shared" si="23"/>
        <v>#N/A</v>
      </c>
      <c r="M139" s="17" t="e">
        <f t="shared" ca="1" si="24"/>
        <v>#N/A</v>
      </c>
      <c r="N139" s="227"/>
      <c r="O139" s="227"/>
      <c r="P139" s="227" t="s">
        <v>74</v>
      </c>
    </row>
    <row r="140" spans="1:16" x14ac:dyDescent="0.2">
      <c r="A140" s="147"/>
      <c r="B140" s="152" t="s">
        <v>50</v>
      </c>
      <c r="C140" s="230" t="s">
        <v>135</v>
      </c>
      <c r="D140" s="230" t="s">
        <v>135</v>
      </c>
      <c r="E140" s="315" t="str">
        <f t="shared" si="27"/>
        <v>-</v>
      </c>
      <c r="F140" s="230" t="s">
        <v>74</v>
      </c>
      <c r="G140" s="230"/>
      <c r="H140" s="230" t="s">
        <v>74</v>
      </c>
      <c r="I140" s="10">
        <f t="shared" si="25"/>
        <v>0</v>
      </c>
      <c r="J140" s="10">
        <f t="shared" si="28"/>
        <v>12</v>
      </c>
      <c r="K140" s="17" t="e">
        <f t="shared" si="22"/>
        <v>#N/A</v>
      </c>
      <c r="L140" s="17" t="e">
        <f t="shared" si="23"/>
        <v>#N/A</v>
      </c>
      <c r="M140" s="17" t="e">
        <f t="shared" ca="1" si="24"/>
        <v>#N/A</v>
      </c>
      <c r="N140" s="227"/>
      <c r="O140" s="227"/>
      <c r="P140" s="227" t="s">
        <v>74</v>
      </c>
    </row>
    <row r="141" spans="1:16" x14ac:dyDescent="0.2">
      <c r="A141" s="147"/>
      <c r="B141" s="152" t="s">
        <v>50</v>
      </c>
      <c r="C141" s="230" t="s">
        <v>135</v>
      </c>
      <c r="D141" s="230" t="s">
        <v>135</v>
      </c>
      <c r="E141" s="315" t="str">
        <f t="shared" si="27"/>
        <v>-</v>
      </c>
      <c r="F141" s="230" t="s">
        <v>74</v>
      </c>
      <c r="G141" s="230"/>
      <c r="H141" s="230" t="s">
        <v>74</v>
      </c>
      <c r="I141" s="10">
        <f t="shared" si="25"/>
        <v>0</v>
      </c>
      <c r="J141" s="10">
        <f t="shared" si="28"/>
        <v>13</v>
      </c>
      <c r="K141" s="17" t="e">
        <f t="shared" si="22"/>
        <v>#N/A</v>
      </c>
      <c r="L141" s="17" t="e">
        <f t="shared" si="23"/>
        <v>#N/A</v>
      </c>
      <c r="M141" s="17" t="e">
        <f t="shared" ca="1" si="24"/>
        <v>#N/A</v>
      </c>
      <c r="N141" s="227"/>
      <c r="O141" s="227"/>
      <c r="P141" s="227" t="s">
        <v>74</v>
      </c>
    </row>
    <row r="142" spans="1:16" x14ac:dyDescent="0.2">
      <c r="A142" s="147"/>
      <c r="B142" s="152" t="s">
        <v>50</v>
      </c>
      <c r="C142" s="230" t="s">
        <v>135</v>
      </c>
      <c r="D142" s="230" t="s">
        <v>135</v>
      </c>
      <c r="E142" s="315" t="str">
        <f t="shared" si="27"/>
        <v>-</v>
      </c>
      <c r="F142" s="230" t="s">
        <v>74</v>
      </c>
      <c r="G142" s="230"/>
      <c r="H142" s="230" t="s">
        <v>74</v>
      </c>
      <c r="I142" s="10">
        <f t="shared" si="25"/>
        <v>0</v>
      </c>
      <c r="J142" s="10">
        <f t="shared" si="28"/>
        <v>14</v>
      </c>
      <c r="K142" s="17" t="e">
        <f t="shared" si="22"/>
        <v>#N/A</v>
      </c>
      <c r="L142" s="17" t="e">
        <f t="shared" si="23"/>
        <v>#N/A</v>
      </c>
      <c r="M142" s="17" t="e">
        <f t="shared" ca="1" si="24"/>
        <v>#N/A</v>
      </c>
      <c r="N142" s="227"/>
      <c r="O142" s="227"/>
      <c r="P142" s="227" t="s">
        <v>74</v>
      </c>
    </row>
    <row r="143" spans="1:16" x14ac:dyDescent="0.2">
      <c r="A143" s="147"/>
      <c r="B143" s="152" t="s">
        <v>50</v>
      </c>
      <c r="C143" s="230" t="s">
        <v>135</v>
      </c>
      <c r="D143" s="230" t="s">
        <v>135</v>
      </c>
      <c r="E143" s="315" t="str">
        <f t="shared" si="27"/>
        <v>-</v>
      </c>
      <c r="F143" s="230" t="s">
        <v>74</v>
      </c>
      <c r="G143" s="230"/>
      <c r="H143" s="230" t="s">
        <v>74</v>
      </c>
      <c r="I143" s="10">
        <f t="shared" si="25"/>
        <v>0</v>
      </c>
      <c r="J143" s="10">
        <f t="shared" si="28"/>
        <v>15</v>
      </c>
      <c r="K143" s="17" t="e">
        <f t="shared" si="22"/>
        <v>#N/A</v>
      </c>
      <c r="L143" s="17" t="e">
        <f t="shared" si="23"/>
        <v>#N/A</v>
      </c>
      <c r="M143" s="17" t="e">
        <f t="shared" ca="1" si="24"/>
        <v>#N/A</v>
      </c>
      <c r="N143" s="227"/>
      <c r="O143" s="227"/>
      <c r="P143" s="227" t="s">
        <v>74</v>
      </c>
    </row>
    <row r="144" spans="1:16" x14ac:dyDescent="0.2">
      <c r="A144" s="147"/>
      <c r="B144" s="152" t="s">
        <v>50</v>
      </c>
      <c r="C144" s="230" t="s">
        <v>135</v>
      </c>
      <c r="D144" s="230" t="s">
        <v>135</v>
      </c>
      <c r="E144" s="315" t="str">
        <f t="shared" si="27"/>
        <v>-</v>
      </c>
      <c r="F144" s="230" t="s">
        <v>74</v>
      </c>
      <c r="G144" s="230"/>
      <c r="H144" s="230" t="s">
        <v>74</v>
      </c>
      <c r="I144" s="10">
        <f t="shared" si="25"/>
        <v>0</v>
      </c>
      <c r="J144" s="10">
        <f t="shared" si="28"/>
        <v>16</v>
      </c>
      <c r="K144" s="17" t="e">
        <f t="shared" si="22"/>
        <v>#N/A</v>
      </c>
      <c r="L144" s="17" t="e">
        <f t="shared" si="23"/>
        <v>#N/A</v>
      </c>
      <c r="M144" s="17" t="e">
        <f t="shared" ca="1" si="24"/>
        <v>#N/A</v>
      </c>
      <c r="N144" s="227"/>
      <c r="O144" s="227"/>
      <c r="P144" s="227" t="s">
        <v>74</v>
      </c>
    </row>
    <row r="145" spans="1:16" x14ac:dyDescent="0.2">
      <c r="A145" s="147"/>
      <c r="B145" s="152" t="s">
        <v>50</v>
      </c>
      <c r="C145" s="230" t="s">
        <v>135</v>
      </c>
      <c r="D145" s="230" t="s">
        <v>135</v>
      </c>
      <c r="E145" s="315" t="str">
        <f t="shared" ref="E145:E160" si="29">IF(P145="-",P145,_xlfn.CONCAT(C145,":",P145))</f>
        <v>-</v>
      </c>
      <c r="F145" s="230" t="s">
        <v>74</v>
      </c>
      <c r="G145" s="230"/>
      <c r="H145" s="230" t="s">
        <v>74</v>
      </c>
      <c r="I145" s="10">
        <f t="shared" si="25"/>
        <v>0</v>
      </c>
      <c r="J145" s="10">
        <f t="shared" si="28"/>
        <v>17</v>
      </c>
      <c r="K145" s="17" t="e">
        <f t="shared" ref="K145:K160" si="30">VLOOKUP(H145,nodeDevicePinConfigTable,3+J145+(IF(B145="IN",0,1)*VLOOKUP(H145,nodeDevicePinConfigTable,2,TRUE)),TRUE)</f>
        <v>#N/A</v>
      </c>
      <c r="L145" s="17" t="e">
        <f t="shared" ref="L145:L160" si="31">VLOOKUP(H145,nodeJMRIPinConfigTable,3+J145+(IF(B145="IN",0,1)*VLOOKUP(H145,nodeJMRIPinConfigTable,2,TRUE)),TRUE)</f>
        <v>#N/A</v>
      </c>
      <c r="M145" s="17" t="e">
        <f t="shared" ref="M145:M160" ca="1" si="32">CONCATENATE(LEFT(L145,2),$D$5*1000+VALUE(RIGHT(L145,3)+I145))</f>
        <v>#N/A</v>
      </c>
      <c r="N145" s="227"/>
      <c r="O145" s="227"/>
      <c r="P145" s="227" t="s">
        <v>74</v>
      </c>
    </row>
    <row r="146" spans="1:16" x14ac:dyDescent="0.2">
      <c r="A146" s="147"/>
      <c r="B146" s="152" t="s">
        <v>50</v>
      </c>
      <c r="C146" s="230" t="s">
        <v>135</v>
      </c>
      <c r="D146" s="230" t="s">
        <v>135</v>
      </c>
      <c r="E146" s="315" t="str">
        <f t="shared" si="29"/>
        <v>-</v>
      </c>
      <c r="F146" s="230" t="s">
        <v>74</v>
      </c>
      <c r="G146" s="230"/>
      <c r="H146" s="230" t="s">
        <v>74</v>
      </c>
      <c r="I146" s="10">
        <f t="shared" ref="I146:I160" si="33">IF(LEFT(H146,4)="BASE",0,IF(LEFT(H146,3)="IOX", VALUE(MID(H146,4,2))*VALUE(RIGHT(H146,1)),0))</f>
        <v>0</v>
      </c>
      <c r="J146" s="10">
        <f t="shared" si="28"/>
        <v>18</v>
      </c>
      <c r="K146" s="17" t="e">
        <f t="shared" si="30"/>
        <v>#N/A</v>
      </c>
      <c r="L146" s="17" t="e">
        <f t="shared" si="31"/>
        <v>#N/A</v>
      </c>
      <c r="M146" s="17" t="e">
        <f t="shared" ca="1" si="32"/>
        <v>#N/A</v>
      </c>
      <c r="N146" s="227"/>
      <c r="O146" s="227"/>
      <c r="P146" s="227" t="s">
        <v>74</v>
      </c>
    </row>
    <row r="147" spans="1:16" x14ac:dyDescent="0.2">
      <c r="A147" s="147"/>
      <c r="B147" s="152" t="s">
        <v>50</v>
      </c>
      <c r="C147" s="230" t="s">
        <v>135</v>
      </c>
      <c r="D147" s="230" t="s">
        <v>135</v>
      </c>
      <c r="E147" s="315" t="str">
        <f t="shared" si="29"/>
        <v>-</v>
      </c>
      <c r="F147" s="230" t="s">
        <v>74</v>
      </c>
      <c r="G147" s="230"/>
      <c r="H147" s="230" t="s">
        <v>74</v>
      </c>
      <c r="I147" s="10">
        <f t="shared" si="33"/>
        <v>0</v>
      </c>
      <c r="J147" s="10">
        <f t="shared" si="28"/>
        <v>19</v>
      </c>
      <c r="K147" s="17" t="e">
        <f t="shared" si="30"/>
        <v>#N/A</v>
      </c>
      <c r="L147" s="17" t="e">
        <f t="shared" si="31"/>
        <v>#N/A</v>
      </c>
      <c r="M147" s="17" t="e">
        <f t="shared" ca="1" si="32"/>
        <v>#N/A</v>
      </c>
      <c r="N147" s="227"/>
      <c r="O147" s="227"/>
      <c r="P147" s="227" t="s">
        <v>74</v>
      </c>
    </row>
    <row r="148" spans="1:16" x14ac:dyDescent="0.2">
      <c r="A148" s="147"/>
      <c r="B148" s="152" t="s">
        <v>50</v>
      </c>
      <c r="C148" s="230" t="s">
        <v>135</v>
      </c>
      <c r="D148" s="230" t="s">
        <v>135</v>
      </c>
      <c r="E148" s="315" t="str">
        <f t="shared" si="29"/>
        <v>-</v>
      </c>
      <c r="F148" s="230" t="s">
        <v>74</v>
      </c>
      <c r="G148" s="230"/>
      <c r="H148" s="230" t="s">
        <v>74</v>
      </c>
      <c r="I148" s="10">
        <f t="shared" si="33"/>
        <v>0</v>
      </c>
      <c r="J148" s="10">
        <f t="shared" si="28"/>
        <v>20</v>
      </c>
      <c r="K148" s="17" t="e">
        <f t="shared" si="30"/>
        <v>#N/A</v>
      </c>
      <c r="L148" s="17" t="e">
        <f t="shared" si="31"/>
        <v>#N/A</v>
      </c>
      <c r="M148" s="17" t="e">
        <f t="shared" ca="1" si="32"/>
        <v>#N/A</v>
      </c>
      <c r="N148" s="227"/>
      <c r="O148" s="227"/>
      <c r="P148" s="227" t="s">
        <v>74</v>
      </c>
    </row>
    <row r="149" spans="1:16" x14ac:dyDescent="0.2">
      <c r="A149" s="147"/>
      <c r="B149" s="152" t="s">
        <v>50</v>
      </c>
      <c r="C149" s="230" t="s">
        <v>135</v>
      </c>
      <c r="D149" s="230" t="s">
        <v>135</v>
      </c>
      <c r="E149" s="315" t="str">
        <f t="shared" si="29"/>
        <v>-</v>
      </c>
      <c r="F149" s="230" t="s">
        <v>74</v>
      </c>
      <c r="G149" s="230"/>
      <c r="H149" s="230" t="s">
        <v>74</v>
      </c>
      <c r="I149" s="10">
        <f t="shared" si="33"/>
        <v>0</v>
      </c>
      <c r="J149" s="10">
        <f t="shared" si="28"/>
        <v>21</v>
      </c>
      <c r="K149" s="17" t="e">
        <f t="shared" si="30"/>
        <v>#N/A</v>
      </c>
      <c r="L149" s="17" t="e">
        <f t="shared" si="31"/>
        <v>#N/A</v>
      </c>
      <c r="M149" s="17" t="e">
        <f t="shared" ca="1" si="32"/>
        <v>#N/A</v>
      </c>
      <c r="N149" s="227"/>
      <c r="O149" s="227"/>
      <c r="P149" s="227" t="s">
        <v>74</v>
      </c>
    </row>
    <row r="150" spans="1:16" x14ac:dyDescent="0.2">
      <c r="A150" s="147"/>
      <c r="B150" s="152" t="s">
        <v>50</v>
      </c>
      <c r="C150" s="230" t="s">
        <v>135</v>
      </c>
      <c r="D150" s="230" t="s">
        <v>135</v>
      </c>
      <c r="E150" s="315" t="str">
        <f t="shared" si="29"/>
        <v>-</v>
      </c>
      <c r="F150" s="230" t="s">
        <v>74</v>
      </c>
      <c r="G150" s="230"/>
      <c r="H150" s="230" t="s">
        <v>74</v>
      </c>
      <c r="I150" s="10">
        <f t="shared" si="33"/>
        <v>0</v>
      </c>
      <c r="J150" s="10">
        <f t="shared" si="28"/>
        <v>22</v>
      </c>
      <c r="K150" s="17" t="e">
        <f t="shared" si="30"/>
        <v>#N/A</v>
      </c>
      <c r="L150" s="17" t="e">
        <f t="shared" si="31"/>
        <v>#N/A</v>
      </c>
      <c r="M150" s="17" t="e">
        <f t="shared" ca="1" si="32"/>
        <v>#N/A</v>
      </c>
      <c r="N150" s="227"/>
      <c r="O150" s="227"/>
      <c r="P150" s="227" t="s">
        <v>74</v>
      </c>
    </row>
    <row r="151" spans="1:16" x14ac:dyDescent="0.2">
      <c r="A151" s="147"/>
      <c r="B151" s="152" t="s">
        <v>50</v>
      </c>
      <c r="C151" s="230" t="s">
        <v>135</v>
      </c>
      <c r="D151" s="230" t="s">
        <v>135</v>
      </c>
      <c r="E151" s="315" t="str">
        <f t="shared" si="29"/>
        <v>-</v>
      </c>
      <c r="F151" s="230" t="s">
        <v>74</v>
      </c>
      <c r="G151" s="230"/>
      <c r="H151" s="230" t="s">
        <v>74</v>
      </c>
      <c r="I151" s="10">
        <f t="shared" si="33"/>
        <v>0</v>
      </c>
      <c r="J151" s="10">
        <f t="shared" si="28"/>
        <v>23</v>
      </c>
      <c r="K151" s="17" t="e">
        <f t="shared" si="30"/>
        <v>#N/A</v>
      </c>
      <c r="L151" s="17" t="e">
        <f t="shared" si="31"/>
        <v>#N/A</v>
      </c>
      <c r="M151" s="17" t="e">
        <f t="shared" ca="1" si="32"/>
        <v>#N/A</v>
      </c>
      <c r="N151" s="227"/>
      <c r="O151" s="227"/>
      <c r="P151" s="227" t="s">
        <v>74</v>
      </c>
    </row>
    <row r="152" spans="1:16" x14ac:dyDescent="0.2">
      <c r="A152" s="147"/>
      <c r="B152" s="152" t="s">
        <v>50</v>
      </c>
      <c r="C152" s="230" t="s">
        <v>135</v>
      </c>
      <c r="D152" s="230" t="s">
        <v>135</v>
      </c>
      <c r="E152" s="315" t="str">
        <f t="shared" si="29"/>
        <v>-</v>
      </c>
      <c r="F152" s="230" t="s">
        <v>74</v>
      </c>
      <c r="G152" s="230"/>
      <c r="H152" s="230" t="s">
        <v>74</v>
      </c>
      <c r="I152" s="10">
        <f t="shared" si="33"/>
        <v>0</v>
      </c>
      <c r="J152" s="10">
        <f t="shared" si="28"/>
        <v>24</v>
      </c>
      <c r="K152" s="17" t="e">
        <f t="shared" si="30"/>
        <v>#N/A</v>
      </c>
      <c r="L152" s="17" t="e">
        <f t="shared" si="31"/>
        <v>#N/A</v>
      </c>
      <c r="M152" s="17" t="e">
        <f t="shared" ca="1" si="32"/>
        <v>#N/A</v>
      </c>
      <c r="N152" s="227"/>
      <c r="O152" s="227"/>
      <c r="P152" s="227" t="s">
        <v>74</v>
      </c>
    </row>
    <row r="153" spans="1:16" x14ac:dyDescent="0.2">
      <c r="A153" s="147"/>
      <c r="B153" s="152" t="s">
        <v>50</v>
      </c>
      <c r="C153" s="230" t="s">
        <v>135</v>
      </c>
      <c r="D153" s="230" t="s">
        <v>135</v>
      </c>
      <c r="E153" s="315" t="str">
        <f t="shared" si="29"/>
        <v>-</v>
      </c>
      <c r="F153" s="230" t="s">
        <v>74</v>
      </c>
      <c r="G153" s="230"/>
      <c r="H153" s="230" t="s">
        <v>74</v>
      </c>
      <c r="I153" s="10">
        <f t="shared" si="33"/>
        <v>0</v>
      </c>
      <c r="J153" s="10">
        <f t="shared" si="28"/>
        <v>25</v>
      </c>
      <c r="K153" s="17" t="e">
        <f t="shared" si="30"/>
        <v>#N/A</v>
      </c>
      <c r="L153" s="17" t="e">
        <f t="shared" si="31"/>
        <v>#N/A</v>
      </c>
      <c r="M153" s="17" t="e">
        <f t="shared" ca="1" si="32"/>
        <v>#N/A</v>
      </c>
      <c r="N153" s="227"/>
      <c r="O153" s="227"/>
      <c r="P153" s="227" t="s">
        <v>74</v>
      </c>
    </row>
    <row r="154" spans="1:16" x14ac:dyDescent="0.2">
      <c r="A154" s="147"/>
      <c r="B154" s="152" t="s">
        <v>50</v>
      </c>
      <c r="C154" s="230" t="s">
        <v>135</v>
      </c>
      <c r="D154" s="230" t="s">
        <v>135</v>
      </c>
      <c r="E154" s="315" t="str">
        <f t="shared" si="29"/>
        <v>-</v>
      </c>
      <c r="F154" s="230" t="s">
        <v>74</v>
      </c>
      <c r="G154" s="230"/>
      <c r="H154" s="230" t="s">
        <v>74</v>
      </c>
      <c r="I154" s="10">
        <f t="shared" si="33"/>
        <v>0</v>
      </c>
      <c r="J154" s="10">
        <f t="shared" si="28"/>
        <v>26</v>
      </c>
      <c r="K154" s="17" t="e">
        <f t="shared" si="30"/>
        <v>#N/A</v>
      </c>
      <c r="L154" s="17" t="e">
        <f t="shared" si="31"/>
        <v>#N/A</v>
      </c>
      <c r="M154" s="17" t="e">
        <f t="shared" ca="1" si="32"/>
        <v>#N/A</v>
      </c>
      <c r="N154" s="227"/>
      <c r="O154" s="227"/>
      <c r="P154" s="227" t="s">
        <v>74</v>
      </c>
    </row>
    <row r="155" spans="1:16" x14ac:dyDescent="0.2">
      <c r="A155" s="147"/>
      <c r="B155" s="152" t="s">
        <v>50</v>
      </c>
      <c r="C155" s="230" t="s">
        <v>135</v>
      </c>
      <c r="D155" s="230" t="s">
        <v>135</v>
      </c>
      <c r="E155" s="315" t="str">
        <f t="shared" si="29"/>
        <v>-</v>
      </c>
      <c r="F155" s="230" t="s">
        <v>74</v>
      </c>
      <c r="G155" s="230"/>
      <c r="H155" s="230" t="s">
        <v>74</v>
      </c>
      <c r="I155" s="10">
        <f t="shared" si="33"/>
        <v>0</v>
      </c>
      <c r="J155" s="10">
        <f t="shared" si="28"/>
        <v>27</v>
      </c>
      <c r="K155" s="17" t="e">
        <f t="shared" si="30"/>
        <v>#N/A</v>
      </c>
      <c r="L155" s="17" t="e">
        <f t="shared" si="31"/>
        <v>#N/A</v>
      </c>
      <c r="M155" s="17" t="e">
        <f t="shared" ca="1" si="32"/>
        <v>#N/A</v>
      </c>
      <c r="N155" s="227"/>
      <c r="O155" s="227"/>
      <c r="P155" s="227" t="s">
        <v>74</v>
      </c>
    </row>
    <row r="156" spans="1:16" x14ac:dyDescent="0.2">
      <c r="A156" s="147"/>
      <c r="B156" s="152" t="s">
        <v>50</v>
      </c>
      <c r="C156" s="230" t="s">
        <v>135</v>
      </c>
      <c r="D156" s="230" t="s">
        <v>135</v>
      </c>
      <c r="E156" s="315" t="str">
        <f t="shared" si="29"/>
        <v>-</v>
      </c>
      <c r="F156" s="230" t="s">
        <v>74</v>
      </c>
      <c r="G156" s="230"/>
      <c r="H156" s="230" t="s">
        <v>74</v>
      </c>
      <c r="I156" s="10">
        <f t="shared" si="33"/>
        <v>0</v>
      </c>
      <c r="J156" s="10">
        <f t="shared" si="28"/>
        <v>28</v>
      </c>
      <c r="K156" s="17" t="e">
        <f t="shared" si="30"/>
        <v>#N/A</v>
      </c>
      <c r="L156" s="17" t="e">
        <f t="shared" si="31"/>
        <v>#N/A</v>
      </c>
      <c r="M156" s="17" t="e">
        <f t="shared" ca="1" si="32"/>
        <v>#N/A</v>
      </c>
      <c r="N156" s="227"/>
      <c r="O156" s="227"/>
      <c r="P156" s="227" t="s">
        <v>74</v>
      </c>
    </row>
    <row r="157" spans="1:16" x14ac:dyDescent="0.2">
      <c r="A157" s="147"/>
      <c r="B157" s="152" t="s">
        <v>50</v>
      </c>
      <c r="C157" s="230" t="s">
        <v>135</v>
      </c>
      <c r="D157" s="230" t="s">
        <v>135</v>
      </c>
      <c r="E157" s="315" t="str">
        <f t="shared" si="29"/>
        <v>-</v>
      </c>
      <c r="F157" s="230" t="s">
        <v>74</v>
      </c>
      <c r="G157" s="230"/>
      <c r="H157" s="230" t="s">
        <v>74</v>
      </c>
      <c r="I157" s="10">
        <f t="shared" si="33"/>
        <v>0</v>
      </c>
      <c r="J157" s="10">
        <f t="shared" si="28"/>
        <v>29</v>
      </c>
      <c r="K157" s="17" t="e">
        <f t="shared" si="30"/>
        <v>#N/A</v>
      </c>
      <c r="L157" s="17" t="e">
        <f t="shared" si="31"/>
        <v>#N/A</v>
      </c>
      <c r="M157" s="17" t="e">
        <f t="shared" ca="1" si="32"/>
        <v>#N/A</v>
      </c>
      <c r="N157" s="227"/>
      <c r="O157" s="227"/>
      <c r="P157" s="227" t="s">
        <v>74</v>
      </c>
    </row>
    <row r="158" spans="1:16" x14ac:dyDescent="0.2">
      <c r="A158" s="147"/>
      <c r="B158" s="152" t="s">
        <v>50</v>
      </c>
      <c r="C158" s="230" t="s">
        <v>135</v>
      </c>
      <c r="D158" s="230" t="s">
        <v>135</v>
      </c>
      <c r="E158" s="315" t="str">
        <f t="shared" si="29"/>
        <v>-</v>
      </c>
      <c r="F158" s="230" t="s">
        <v>74</v>
      </c>
      <c r="G158" s="230"/>
      <c r="H158" s="230" t="s">
        <v>74</v>
      </c>
      <c r="I158" s="10">
        <f t="shared" si="33"/>
        <v>0</v>
      </c>
      <c r="J158" s="10">
        <f t="shared" si="28"/>
        <v>30</v>
      </c>
      <c r="K158" s="17" t="e">
        <f t="shared" si="30"/>
        <v>#N/A</v>
      </c>
      <c r="L158" s="17" t="e">
        <f t="shared" si="31"/>
        <v>#N/A</v>
      </c>
      <c r="M158" s="17" t="e">
        <f t="shared" ca="1" si="32"/>
        <v>#N/A</v>
      </c>
      <c r="N158" s="227"/>
      <c r="O158" s="227"/>
      <c r="P158" s="227" t="s">
        <v>74</v>
      </c>
    </row>
    <row r="159" spans="1:16" x14ac:dyDescent="0.2">
      <c r="A159" s="147"/>
      <c r="B159" s="152" t="s">
        <v>50</v>
      </c>
      <c r="C159" s="230" t="s">
        <v>135</v>
      </c>
      <c r="D159" s="230" t="s">
        <v>135</v>
      </c>
      <c r="E159" s="315" t="str">
        <f t="shared" si="29"/>
        <v>-</v>
      </c>
      <c r="F159" s="230" t="s">
        <v>74</v>
      </c>
      <c r="G159" s="230"/>
      <c r="H159" s="230" t="s">
        <v>74</v>
      </c>
      <c r="I159" s="10">
        <f t="shared" si="33"/>
        <v>0</v>
      </c>
      <c r="J159" s="10">
        <f t="shared" si="28"/>
        <v>31</v>
      </c>
      <c r="K159" s="17" t="e">
        <f t="shared" si="30"/>
        <v>#N/A</v>
      </c>
      <c r="L159" s="17" t="e">
        <f t="shared" si="31"/>
        <v>#N/A</v>
      </c>
      <c r="M159" s="17" t="e">
        <f t="shared" ca="1" si="32"/>
        <v>#N/A</v>
      </c>
      <c r="N159" s="227"/>
      <c r="O159" s="227"/>
      <c r="P159" s="227" t="s">
        <v>74</v>
      </c>
    </row>
    <row r="160" spans="1:16" ht="16" thickBot="1" x14ac:dyDescent="0.25">
      <c r="A160" s="148"/>
      <c r="B160" s="136" t="s">
        <v>50</v>
      </c>
      <c r="C160" s="230" t="s">
        <v>135</v>
      </c>
      <c r="D160" s="137" t="s">
        <v>135</v>
      </c>
      <c r="E160" s="317" t="str">
        <f t="shared" si="29"/>
        <v>-</v>
      </c>
      <c r="F160" s="137" t="s">
        <v>74</v>
      </c>
      <c r="G160" s="137"/>
      <c r="H160" s="137" t="s">
        <v>74</v>
      </c>
      <c r="I160" s="12">
        <f t="shared" si="33"/>
        <v>0</v>
      </c>
      <c r="J160" s="12">
        <f t="shared" si="28"/>
        <v>32</v>
      </c>
      <c r="K160" s="18" t="e">
        <f t="shared" si="30"/>
        <v>#N/A</v>
      </c>
      <c r="L160" s="18" t="e">
        <f t="shared" si="31"/>
        <v>#N/A</v>
      </c>
      <c r="M160" s="18" t="e">
        <f t="shared" ca="1" si="32"/>
        <v>#N/A</v>
      </c>
      <c r="N160" s="228"/>
      <c r="O160" s="228"/>
      <c r="P160" s="228" t="s">
        <v>74</v>
      </c>
    </row>
  </sheetData>
  <mergeCells count="15">
    <mergeCell ref="B2:P2"/>
    <mergeCell ref="B15:P15"/>
    <mergeCell ref="C7:C14"/>
    <mergeCell ref="Q2:X2"/>
    <mergeCell ref="B3:D3"/>
    <mergeCell ref="E3:F5"/>
    <mergeCell ref="H3:K3"/>
    <mergeCell ref="L3:N3"/>
    <mergeCell ref="B4:C4"/>
    <mergeCell ref="H4:K4"/>
    <mergeCell ref="L4:N4"/>
    <mergeCell ref="B5:C5"/>
    <mergeCell ref="H5:K5"/>
    <mergeCell ref="L5:N5"/>
    <mergeCell ref="O3:P5"/>
  </mergeCells>
  <dataValidations count="5">
    <dataValidation type="list" allowBlank="1" showInputMessage="1" showErrorMessage="1" sqref="C63:C160 C49:C60 C17:C46" xr:uid="{0226A55D-357B-1D44-B263-98B0AC533F8E}">
      <formula1>VALID_MODULES</formula1>
    </dataValidation>
    <dataValidation type="list" allowBlank="1" showInputMessage="1" showErrorMessage="1" sqref="H17:H160" xr:uid="{3C3A1ADD-130C-CB43-ABCC-08F60D903025}">
      <formula1>Module5Nodes</formula1>
    </dataValidation>
    <dataValidation type="list" allowBlank="1" showInputMessage="1" showErrorMessage="1" sqref="F17:F160" xr:uid="{536632C2-D944-1346-881D-9118ED825106}">
      <formula1>DCC_Decoders</formula1>
    </dataValidation>
    <dataValidation type="list" allowBlank="1" showInputMessage="1" showErrorMessage="1" sqref="D5" xr:uid="{B7FD3153-E03B-6A4A-BC43-B6C2BC94121E}">
      <formula1>cpNode_Addresses</formula1>
    </dataValidation>
    <dataValidation type="list" allowBlank="1" showInputMessage="1" showErrorMessage="1" sqref="G17:G160" xr:uid="{90A3E4FE-EE0A-F64E-900A-4CB6AD92E75A}">
      <formula1>JMRI_STATE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357E42C-2576-924E-80A0-07E0FBD112EC}">
          <x14:formula1>
            <xm:f>OFFSET('System Parameters'!$J$1, MATCH(B17,'System Parameters'!$J:$J,0)-1,1,COUNTIF('System Parameters'!$J:$J,B17),1)</xm:f>
          </x14:formula1>
          <xm:sqref>D17:D160</xm:sqref>
        </x14:dataValidation>
        <x14:dataValidation type="list" allowBlank="1" showInputMessage="1" showErrorMessage="1" xr:uid="{E03B2AE4-82B8-5243-8C1D-AC5EC36A97A3}">
          <x14:formula1>
            <xm:f>OFFSET('System Parameters'!$J$1, MATCH(A46,'System Parameters'!$J:$J,0)-1,1,COUNTIF('System Parameters'!$J:$J,A46),1)</xm:f>
          </x14:formula1>
          <xm:sqref>C61:C62 C47:C48</xm:sqref>
        </x14:dataValidation>
        <x14:dataValidation type="list" allowBlank="1" showInputMessage="1" showErrorMessage="1" xr:uid="{E309CC56-29B9-4B4D-A6B0-27BBC49215EC}">
          <x14:formula1>
            <xm:f>OFFSET('System Parameters'!$N$1, MATCH(A6,'System Parameters'!$N:$N,0)-1,1,COUNTIF('System Parameters'!$N:$N,A6),1)</xm:f>
          </x14:formula1>
          <xm:sqref>D6:D14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160"/>
  <sheetViews>
    <sheetView tabSelected="1" topLeftCell="B2" zoomScale="190" zoomScaleNormal="190" zoomScalePageLayoutView="160" workbookViewId="0">
      <selection activeCell="D48" sqref="D48"/>
    </sheetView>
  </sheetViews>
  <sheetFormatPr baseColWidth="10" defaultColWidth="8.83203125" defaultRowHeight="15" x14ac:dyDescent="0.2"/>
  <cols>
    <col min="1" max="1" width="2.83203125" style="1" hidden="1" customWidth="1"/>
    <col min="2" max="2" width="10.83203125" style="1" customWidth="1"/>
    <col min="3" max="3" width="20.33203125" style="1" customWidth="1"/>
    <col min="4" max="4" width="25.83203125" style="1" customWidth="1"/>
    <col min="5" max="5" width="34.83203125" style="8" customWidth="1"/>
    <col min="6" max="7" width="10.5" style="1" customWidth="1"/>
    <col min="8" max="8" width="10.1640625" style="8" customWidth="1"/>
    <col min="9" max="9" width="9" style="8" customWidth="1"/>
    <col min="10" max="10" width="8" style="8" customWidth="1"/>
    <col min="11" max="11" width="9.83203125" style="8" customWidth="1"/>
    <col min="12" max="12" width="10.5" style="8" customWidth="1"/>
    <col min="13" max="13" width="10.83203125" style="8" customWidth="1"/>
    <col min="14" max="14" width="29.1640625" style="1" customWidth="1"/>
    <col min="15" max="15" width="16.1640625" style="1" customWidth="1"/>
    <col min="16" max="16" width="18.83203125" style="1" customWidth="1"/>
    <col min="17" max="16384" width="8.83203125" style="1"/>
  </cols>
  <sheetData>
    <row r="1" spans="1:18" ht="17" hidden="1" customHeight="1" thickBot="1" x14ac:dyDescent="0.25"/>
    <row r="2" spans="1:18" ht="27" thickBot="1" x14ac:dyDescent="0.25">
      <c r="B2" s="462" t="s">
        <v>239</v>
      </c>
      <c r="C2" s="463"/>
      <c r="D2" s="463"/>
      <c r="E2" s="463"/>
      <c r="F2" s="463"/>
      <c r="G2" s="463"/>
      <c r="H2" s="463"/>
      <c r="I2" s="463"/>
      <c r="J2" s="463"/>
      <c r="K2" s="463"/>
      <c r="L2" s="463"/>
      <c r="M2" s="463"/>
      <c r="N2" s="463"/>
      <c r="O2" s="463"/>
      <c r="P2" s="464"/>
    </row>
    <row r="3" spans="1:18" ht="22" customHeight="1" thickBot="1" x14ac:dyDescent="0.25">
      <c r="B3" s="453" t="s">
        <v>204</v>
      </c>
      <c r="C3" s="454"/>
      <c r="D3" s="455"/>
      <c r="E3" s="475" t="s">
        <v>240</v>
      </c>
      <c r="F3" s="474"/>
      <c r="G3" s="334"/>
      <c r="H3" s="473" t="s">
        <v>241</v>
      </c>
      <c r="I3" s="474"/>
      <c r="J3" s="473" t="s">
        <v>242</v>
      </c>
      <c r="K3" s="474"/>
      <c r="L3" s="277"/>
      <c r="M3" s="277"/>
      <c r="N3" s="278"/>
      <c r="O3" s="416" t="s">
        <v>495</v>
      </c>
      <c r="P3" s="417"/>
    </row>
    <row r="4" spans="1:18" ht="33" customHeight="1" thickBot="1" x14ac:dyDescent="0.25">
      <c r="B4" s="445" t="s">
        <v>206</v>
      </c>
      <c r="C4" s="446"/>
      <c r="D4" s="113" t="str">
        <f ca="1">RIGHT(CELL("filename",A1),LEN(CELL("filename",A1))-FIND("]",CELL("filename",A1)))</f>
        <v>Node 6</v>
      </c>
      <c r="E4" s="218" t="s">
        <v>243</v>
      </c>
      <c r="F4" s="219">
        <f>CMRINET_BAUD_RATE</f>
        <v>115200</v>
      </c>
      <c r="G4" s="219"/>
      <c r="H4" s="220" t="s">
        <v>244</v>
      </c>
      <c r="I4" s="221" t="str">
        <f ca="1">DEC2BIN(D5,7)</f>
        <v>0000110</v>
      </c>
      <c r="J4" s="222" t="s">
        <v>245</v>
      </c>
      <c r="K4" s="219" t="str">
        <f>VLOOKUP(F4,SMINISW2,3,TRUE)</f>
        <v>1000</v>
      </c>
      <c r="L4" s="223" t="s">
        <v>246</v>
      </c>
      <c r="M4" s="224"/>
      <c r="N4" s="225"/>
      <c r="O4" s="418"/>
      <c r="P4" s="419"/>
    </row>
    <row r="5" spans="1:18" ht="22" customHeight="1" thickBot="1" x14ac:dyDescent="0.25">
      <c r="A5" s="1" t="s">
        <v>37</v>
      </c>
      <c r="B5" s="445" t="s">
        <v>247</v>
      </c>
      <c r="C5" s="446"/>
      <c r="D5" s="114">
        <f ca="1">VLOOKUP(D4, NODE_TABLE,2)</f>
        <v>6</v>
      </c>
      <c r="E5" s="476"/>
      <c r="F5" s="477"/>
      <c r="G5" s="477"/>
      <c r="H5" s="477"/>
      <c r="I5" s="477"/>
      <c r="J5" s="477"/>
      <c r="K5" s="477"/>
      <c r="L5" s="477"/>
      <c r="M5" s="477"/>
      <c r="N5" s="478"/>
      <c r="O5" s="420"/>
      <c r="P5" s="421"/>
    </row>
    <row r="6" spans="1:18" ht="13" customHeight="1" x14ac:dyDescent="0.2">
      <c r="A6" s="1" t="s">
        <v>26</v>
      </c>
      <c r="B6" s="440" t="s">
        <v>248</v>
      </c>
      <c r="C6" s="441"/>
      <c r="D6" s="470" t="s">
        <v>26</v>
      </c>
      <c r="E6" s="395" t="s">
        <v>249</v>
      </c>
      <c r="F6" s="401"/>
      <c r="G6" s="401"/>
      <c r="H6" s="401"/>
      <c r="I6" s="401"/>
      <c r="J6" s="401"/>
      <c r="K6" s="401"/>
      <c r="L6" s="401"/>
      <c r="M6" s="401"/>
      <c r="N6" s="396"/>
      <c r="O6" s="280" t="s">
        <v>707</v>
      </c>
      <c r="P6" s="282">
        <f t="shared" ref="P6:P12" si="0">COUNTIF($C$17:$C$88,$O6)</f>
        <v>32</v>
      </c>
    </row>
    <row r="7" spans="1:18" ht="13" customHeight="1" x14ac:dyDescent="0.2">
      <c r="B7" s="466"/>
      <c r="C7" s="467"/>
      <c r="D7" s="471"/>
      <c r="E7" s="397"/>
      <c r="F7" s="465"/>
      <c r="G7" s="465"/>
      <c r="H7" s="465"/>
      <c r="I7" s="465"/>
      <c r="J7" s="465"/>
      <c r="K7" s="465"/>
      <c r="L7" s="465"/>
      <c r="M7" s="465"/>
      <c r="N7" s="398"/>
      <c r="O7" s="280" t="s">
        <v>708</v>
      </c>
      <c r="P7" s="282">
        <f t="shared" si="0"/>
        <v>0</v>
      </c>
    </row>
    <row r="8" spans="1:18" ht="13" customHeight="1" x14ac:dyDescent="0.2">
      <c r="B8" s="466"/>
      <c r="C8" s="467"/>
      <c r="D8" s="471"/>
      <c r="E8" s="397"/>
      <c r="F8" s="465"/>
      <c r="G8" s="465"/>
      <c r="H8" s="465"/>
      <c r="I8" s="465"/>
      <c r="J8" s="465"/>
      <c r="K8" s="465"/>
      <c r="L8" s="465"/>
      <c r="M8" s="465"/>
      <c r="N8" s="398"/>
      <c r="O8" s="280" t="s">
        <v>703</v>
      </c>
      <c r="P8" s="282">
        <f t="shared" si="0"/>
        <v>0</v>
      </c>
    </row>
    <row r="9" spans="1:18" ht="13" customHeight="1" x14ac:dyDescent="0.2">
      <c r="B9" s="466"/>
      <c r="C9" s="467"/>
      <c r="D9" s="471"/>
      <c r="E9" s="397"/>
      <c r="F9" s="465"/>
      <c r="G9" s="465"/>
      <c r="H9" s="465"/>
      <c r="I9" s="465"/>
      <c r="J9" s="465"/>
      <c r="K9" s="465"/>
      <c r="L9" s="465"/>
      <c r="M9" s="465"/>
      <c r="N9" s="398"/>
      <c r="O9" s="280" t="s">
        <v>704</v>
      </c>
      <c r="P9" s="282">
        <f t="shared" si="0"/>
        <v>0</v>
      </c>
    </row>
    <row r="10" spans="1:18" ht="17" customHeight="1" x14ac:dyDescent="0.2">
      <c r="B10" s="466"/>
      <c r="C10" s="467"/>
      <c r="D10" s="471"/>
      <c r="E10" s="397"/>
      <c r="F10" s="465"/>
      <c r="G10" s="465"/>
      <c r="H10" s="465"/>
      <c r="I10" s="465"/>
      <c r="J10" s="465"/>
      <c r="K10" s="465"/>
      <c r="L10" s="465"/>
      <c r="M10" s="465"/>
      <c r="N10" s="398"/>
      <c r="O10" s="280" t="s">
        <v>705</v>
      </c>
      <c r="P10" s="282">
        <f t="shared" si="0"/>
        <v>0</v>
      </c>
    </row>
    <row r="11" spans="1:18" ht="17" customHeight="1" x14ac:dyDescent="0.2">
      <c r="B11" s="466"/>
      <c r="C11" s="467"/>
      <c r="D11" s="471"/>
      <c r="E11" s="397"/>
      <c r="F11" s="465"/>
      <c r="G11" s="465"/>
      <c r="H11" s="465"/>
      <c r="I11" s="465"/>
      <c r="J11" s="465"/>
      <c r="K11" s="465"/>
      <c r="L11" s="465"/>
      <c r="M11" s="465"/>
      <c r="N11" s="398"/>
      <c r="O11" s="280" t="s">
        <v>706</v>
      </c>
      <c r="P11" s="282">
        <f t="shared" si="0"/>
        <v>0</v>
      </c>
    </row>
    <row r="12" spans="1:18" ht="17" customHeight="1" x14ac:dyDescent="0.2">
      <c r="B12" s="466"/>
      <c r="C12" s="467"/>
      <c r="D12" s="471"/>
      <c r="E12" s="397"/>
      <c r="F12" s="465"/>
      <c r="G12" s="465"/>
      <c r="H12" s="465"/>
      <c r="I12" s="465"/>
      <c r="J12" s="465"/>
      <c r="K12" s="465"/>
      <c r="L12" s="465"/>
      <c r="M12" s="465"/>
      <c r="N12" s="398"/>
      <c r="O12" s="272" t="s">
        <v>135</v>
      </c>
      <c r="P12" s="282">
        <f t="shared" si="0"/>
        <v>40</v>
      </c>
    </row>
    <row r="13" spans="1:18" ht="17" customHeight="1" x14ac:dyDescent="0.2">
      <c r="B13" s="466"/>
      <c r="C13" s="467"/>
      <c r="D13" s="471"/>
      <c r="E13" s="397"/>
      <c r="F13" s="465"/>
      <c r="G13" s="465"/>
      <c r="H13" s="465"/>
      <c r="I13" s="465"/>
      <c r="J13" s="465"/>
      <c r="K13" s="465"/>
      <c r="L13" s="465"/>
      <c r="M13" s="465"/>
      <c r="N13" s="398"/>
      <c r="O13" s="272" t="s">
        <v>685</v>
      </c>
      <c r="P13" s="282">
        <f>SUM(P6:P12)</f>
        <v>72</v>
      </c>
    </row>
    <row r="14" spans="1:18" ht="22" customHeight="1" thickBot="1" x14ac:dyDescent="0.25">
      <c r="B14" s="468"/>
      <c r="C14" s="469"/>
      <c r="D14" s="472"/>
      <c r="E14" s="399"/>
      <c r="F14" s="403"/>
      <c r="G14" s="403"/>
      <c r="H14" s="403"/>
      <c r="I14" s="403"/>
      <c r="J14" s="403"/>
      <c r="K14" s="403"/>
      <c r="L14" s="403"/>
      <c r="M14" s="403"/>
      <c r="N14" s="400"/>
      <c r="O14" s="274"/>
      <c r="P14" s="284"/>
    </row>
    <row r="15" spans="1:18" ht="27" customHeight="1" thickBot="1" x14ac:dyDescent="0.25">
      <c r="B15" s="413" t="s">
        <v>551</v>
      </c>
      <c r="C15" s="414"/>
      <c r="D15" s="414"/>
      <c r="E15" s="414"/>
      <c r="F15" s="414"/>
      <c r="G15" s="414"/>
      <c r="H15" s="414"/>
      <c r="I15" s="414"/>
      <c r="J15" s="414"/>
      <c r="K15" s="414"/>
      <c r="L15" s="414"/>
      <c r="M15" s="414"/>
      <c r="N15" s="414"/>
      <c r="O15" s="414"/>
      <c r="P15" s="415"/>
      <c r="R15" s="269"/>
    </row>
    <row r="16" spans="1:18" s="2" customFormat="1" ht="52" thickBot="1" x14ac:dyDescent="0.25">
      <c r="B16" s="23" t="s">
        <v>229</v>
      </c>
      <c r="C16" s="24" t="s">
        <v>206</v>
      </c>
      <c r="D16" s="25" t="s">
        <v>36</v>
      </c>
      <c r="E16" s="26" t="s">
        <v>230</v>
      </c>
      <c r="F16" s="26" t="s">
        <v>231</v>
      </c>
      <c r="G16" s="26" t="s">
        <v>781</v>
      </c>
      <c r="H16" s="26" t="s">
        <v>232</v>
      </c>
      <c r="I16" s="27" t="s">
        <v>233</v>
      </c>
      <c r="J16" s="27" t="s">
        <v>234</v>
      </c>
      <c r="K16" s="28" t="s">
        <v>235</v>
      </c>
      <c r="L16" s="28" t="s">
        <v>236</v>
      </c>
      <c r="M16" s="28" t="s">
        <v>237</v>
      </c>
      <c r="N16" s="43" t="s">
        <v>686</v>
      </c>
      <c r="O16" s="43" t="s">
        <v>687</v>
      </c>
      <c r="P16" s="43" t="s">
        <v>776</v>
      </c>
      <c r="Q16" s="279"/>
      <c r="R16" s="279"/>
    </row>
    <row r="17" spans="1:45" s="3" customFormat="1" x14ac:dyDescent="0.2">
      <c r="B17" s="310" t="s">
        <v>46</v>
      </c>
      <c r="C17" s="311" t="s">
        <v>707</v>
      </c>
      <c r="D17" s="311" t="s">
        <v>786</v>
      </c>
      <c r="E17" s="313" t="str">
        <f>IF(P17="-",P17,_xlfn.CONCAT(C17,":",P17))</f>
        <v>CTC_XOVR_LEFT:OME:TS1</v>
      </c>
      <c r="F17" s="233" t="s">
        <v>74</v>
      </c>
      <c r="G17" s="325" t="s">
        <v>783</v>
      </c>
      <c r="H17" s="311" t="s">
        <v>26</v>
      </c>
      <c r="I17" s="309">
        <v>0</v>
      </c>
      <c r="J17" s="5">
        <f t="shared" ref="J17:J48" si="1">IF(AND(H17=H16,B17=B16), J16+1,1)</f>
        <v>1</v>
      </c>
      <c r="K17" s="15" t="str">
        <f t="shared" ref="K17:K48" si="2">VLOOKUP(H17,SMINIPinTable,3+J17+(IF(B17="IN",0,1)*VLOOKUP(H17,SMINIPinTable,2,TRUE)),TRUE)</f>
        <v>2:A0</v>
      </c>
      <c r="L17" s="15" t="str">
        <f t="shared" ref="L17:L48" si="3">VLOOKUP(H17,SMINIJMRITable,3+J17+(IF(B17="IN",0,1)*VLOOKUP(H17,SMINIJMRITable,2,TRUE)),TRUE)</f>
        <v>CSn001</v>
      </c>
      <c r="M17" s="15" t="str">
        <f ca="1">CONCATENATE(LEFT(L17,2),$D$5*1000+VALUE(RIGHT(L17,3)+I17))</f>
        <v>CS6001</v>
      </c>
      <c r="N17" s="226" t="s">
        <v>592</v>
      </c>
      <c r="O17" s="275"/>
      <c r="P17" s="321" t="s">
        <v>714</v>
      </c>
      <c r="Q17" s="274"/>
      <c r="R17" s="274"/>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row>
    <row r="18" spans="1:45" x14ac:dyDescent="0.2">
      <c r="B18" s="152" t="s">
        <v>46</v>
      </c>
      <c r="C18" s="230" t="s">
        <v>707</v>
      </c>
      <c r="D18" s="230" t="s">
        <v>786</v>
      </c>
      <c r="E18" s="314" t="str">
        <f t="shared" ref="E18:E81" si="4">IF(P18="-",P18,_xlfn.CONCAT(C18,":",P18))</f>
        <v>CTC_XOVR_LEFT:OME:TS2</v>
      </c>
      <c r="F18" s="234" t="s">
        <v>74</v>
      </c>
      <c r="G18" s="234" t="s">
        <v>783</v>
      </c>
      <c r="H18" s="230" t="s">
        <v>26</v>
      </c>
      <c r="I18" s="10">
        <v>0</v>
      </c>
      <c r="J18" s="6">
        <f t="shared" si="1"/>
        <v>2</v>
      </c>
      <c r="K18" s="16" t="str">
        <f t="shared" si="2"/>
        <v>2:A1</v>
      </c>
      <c r="L18" s="16" t="str">
        <f t="shared" si="3"/>
        <v>CSn002</v>
      </c>
      <c r="M18" s="16" t="str">
        <f t="shared" ref="M18:M81" ca="1" si="5">CONCATENATE(LEFT(L18,2),$D$5*1000+VALUE(RIGHT(L18,3)+I18))</f>
        <v>CS6002</v>
      </c>
      <c r="N18" s="227" t="s">
        <v>593</v>
      </c>
      <c r="O18" s="276"/>
      <c r="P18" s="322" t="s">
        <v>715</v>
      </c>
      <c r="Q18" s="274"/>
      <c r="R18" s="274"/>
    </row>
    <row r="19" spans="1:45" x14ac:dyDescent="0.2">
      <c r="B19" s="152" t="s">
        <v>46</v>
      </c>
      <c r="C19" s="230" t="s">
        <v>135</v>
      </c>
      <c r="D19" s="230" t="s">
        <v>135</v>
      </c>
      <c r="E19" s="314" t="str">
        <f t="shared" si="4"/>
        <v>-</v>
      </c>
      <c r="F19" s="234" t="s">
        <v>74</v>
      </c>
      <c r="G19" s="234"/>
      <c r="H19" s="230" t="s">
        <v>26</v>
      </c>
      <c r="I19" s="10">
        <v>0</v>
      </c>
      <c r="J19" s="6">
        <f t="shared" si="1"/>
        <v>3</v>
      </c>
      <c r="K19" s="16" t="str">
        <f t="shared" si="2"/>
        <v>2:A2</v>
      </c>
      <c r="L19" s="16" t="str">
        <f t="shared" si="3"/>
        <v>CSn003</v>
      </c>
      <c r="M19" s="16" t="str">
        <f t="shared" ca="1" si="5"/>
        <v>CS6003</v>
      </c>
      <c r="N19" s="227"/>
      <c r="O19" s="276"/>
      <c r="P19" s="322" t="s">
        <v>74</v>
      </c>
      <c r="Q19" s="274"/>
      <c r="R19" s="274"/>
    </row>
    <row r="20" spans="1:45" x14ac:dyDescent="0.2">
      <c r="B20" s="152" t="s">
        <v>46</v>
      </c>
      <c r="C20" s="230" t="s">
        <v>135</v>
      </c>
      <c r="D20" s="230" t="s">
        <v>135</v>
      </c>
      <c r="E20" s="314" t="str">
        <f t="shared" si="4"/>
        <v>-</v>
      </c>
      <c r="F20" s="234" t="s">
        <v>74</v>
      </c>
      <c r="G20" s="234"/>
      <c r="H20" s="230" t="s">
        <v>26</v>
      </c>
      <c r="I20" s="10">
        <v>0</v>
      </c>
      <c r="J20" s="6">
        <f t="shared" si="1"/>
        <v>4</v>
      </c>
      <c r="K20" s="16" t="str">
        <f t="shared" si="2"/>
        <v>2:A3</v>
      </c>
      <c r="L20" s="16" t="str">
        <f t="shared" si="3"/>
        <v>CSn004</v>
      </c>
      <c r="M20" s="16" t="str">
        <f t="shared" ca="1" si="5"/>
        <v>CS6004</v>
      </c>
      <c r="N20" s="227"/>
      <c r="O20" s="276"/>
      <c r="P20" s="322" t="s">
        <v>74</v>
      </c>
      <c r="Q20" s="274"/>
      <c r="R20" s="274"/>
    </row>
    <row r="21" spans="1:45" s="4" customFormat="1" ht="16" thickBot="1" x14ac:dyDescent="0.25">
      <c r="A21" s="1"/>
      <c r="B21" s="152" t="s">
        <v>46</v>
      </c>
      <c r="C21" s="230" t="s">
        <v>707</v>
      </c>
      <c r="D21" s="230" t="s">
        <v>786</v>
      </c>
      <c r="E21" s="314" t="str">
        <f t="shared" ref="E21:E22" si="6">IF(P21="-",P21,_xlfn.CONCAT(C21,":",P21))</f>
        <v>CTC_XOVR_LEFT:IMW:TS1</v>
      </c>
      <c r="F21" s="234" t="s">
        <v>74</v>
      </c>
      <c r="G21" s="234" t="s">
        <v>783</v>
      </c>
      <c r="H21" s="230" t="s">
        <v>26</v>
      </c>
      <c r="I21" s="10">
        <v>0</v>
      </c>
      <c r="J21" s="6">
        <f t="shared" si="1"/>
        <v>5</v>
      </c>
      <c r="K21" s="16" t="str">
        <f t="shared" si="2"/>
        <v>2:A4</v>
      </c>
      <c r="L21" s="16" t="str">
        <f t="shared" si="3"/>
        <v>CSn005</v>
      </c>
      <c r="M21" s="16" t="str">
        <f t="shared" ca="1" si="5"/>
        <v>CS6005</v>
      </c>
      <c r="N21" s="227" t="s">
        <v>594</v>
      </c>
      <c r="O21" s="276"/>
      <c r="P21" s="322" t="s">
        <v>742</v>
      </c>
      <c r="Q21" s="274"/>
      <c r="R21" s="274"/>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row>
    <row r="22" spans="1:45" s="3" customFormat="1" x14ac:dyDescent="0.2">
      <c r="A22" s="1"/>
      <c r="B22" s="152" t="s">
        <v>46</v>
      </c>
      <c r="C22" s="230" t="s">
        <v>707</v>
      </c>
      <c r="D22" s="230" t="s">
        <v>786</v>
      </c>
      <c r="E22" s="314" t="str">
        <f t="shared" si="6"/>
        <v>CTC_XOVR_LEFT:IMW:TS2</v>
      </c>
      <c r="F22" s="234" t="s">
        <v>74</v>
      </c>
      <c r="G22" s="234" t="s">
        <v>783</v>
      </c>
      <c r="H22" s="230" t="s">
        <v>26</v>
      </c>
      <c r="I22" s="10">
        <v>0</v>
      </c>
      <c r="J22" s="6">
        <f t="shared" si="1"/>
        <v>6</v>
      </c>
      <c r="K22" s="16" t="str">
        <f t="shared" si="2"/>
        <v>2:A5</v>
      </c>
      <c r="L22" s="16" t="str">
        <f t="shared" si="3"/>
        <v>CSn006</v>
      </c>
      <c r="M22" s="16" t="str">
        <f t="shared" ca="1" si="5"/>
        <v>CS6006</v>
      </c>
      <c r="N22" s="227" t="s">
        <v>595</v>
      </c>
      <c r="O22" s="276"/>
      <c r="P22" s="322" t="s">
        <v>743</v>
      </c>
      <c r="Q22" s="274"/>
      <c r="R22" s="274"/>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row>
    <row r="23" spans="1:45" x14ac:dyDescent="0.2">
      <c r="B23" s="152" t="s">
        <v>46</v>
      </c>
      <c r="C23" s="230" t="s">
        <v>135</v>
      </c>
      <c r="D23" s="230" t="s">
        <v>135</v>
      </c>
      <c r="E23" s="315" t="str">
        <f t="shared" si="4"/>
        <v>-</v>
      </c>
      <c r="F23" s="234" t="s">
        <v>74</v>
      </c>
      <c r="G23" s="234"/>
      <c r="H23" s="230" t="s">
        <v>26</v>
      </c>
      <c r="I23" s="10">
        <v>0</v>
      </c>
      <c r="J23" s="6">
        <f t="shared" si="1"/>
        <v>7</v>
      </c>
      <c r="K23" s="16" t="str">
        <f t="shared" si="2"/>
        <v>2:A6</v>
      </c>
      <c r="L23" s="16" t="str">
        <f t="shared" si="3"/>
        <v>CSn007</v>
      </c>
      <c r="M23" s="16" t="str">
        <f t="shared" ca="1" si="5"/>
        <v>CS6007</v>
      </c>
      <c r="N23" s="227"/>
      <c r="O23" s="276"/>
      <c r="P23" s="322" t="s">
        <v>74</v>
      </c>
    </row>
    <row r="24" spans="1:45" s="4" customFormat="1" ht="16" thickBot="1" x14ac:dyDescent="0.25">
      <c r="A24" s="1"/>
      <c r="B24" s="152" t="s">
        <v>46</v>
      </c>
      <c r="C24" s="230" t="s">
        <v>135</v>
      </c>
      <c r="D24" s="230" t="s">
        <v>135</v>
      </c>
      <c r="E24" s="315" t="str">
        <f t="shared" si="4"/>
        <v>-</v>
      </c>
      <c r="F24" s="234" t="s">
        <v>74</v>
      </c>
      <c r="G24" s="234"/>
      <c r="H24" s="230" t="s">
        <v>26</v>
      </c>
      <c r="I24" s="10">
        <v>0</v>
      </c>
      <c r="J24" s="6">
        <f t="shared" si="1"/>
        <v>8</v>
      </c>
      <c r="K24" s="16" t="str">
        <f t="shared" si="2"/>
        <v>2:A7</v>
      </c>
      <c r="L24" s="16" t="str">
        <f t="shared" si="3"/>
        <v>CSn008</v>
      </c>
      <c r="M24" s="16" t="str">
        <f t="shared" ca="1" si="5"/>
        <v>CS6008</v>
      </c>
      <c r="N24" s="227"/>
      <c r="O24" s="276"/>
      <c r="P24" s="322" t="s">
        <v>74</v>
      </c>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spans="1:45" x14ac:dyDescent="0.2">
      <c r="B25" s="152" t="s">
        <v>46</v>
      </c>
      <c r="C25" s="230" t="s">
        <v>707</v>
      </c>
      <c r="D25" s="230" t="s">
        <v>711</v>
      </c>
      <c r="E25" s="315" t="str">
        <f t="shared" si="4"/>
        <v>CTC_XOVR_LEFT:TO_RSR</v>
      </c>
      <c r="F25" s="234" t="s">
        <v>74</v>
      </c>
      <c r="G25" s="234" t="s">
        <v>782</v>
      </c>
      <c r="H25" s="230" t="s">
        <v>26</v>
      </c>
      <c r="I25" s="10">
        <v>0</v>
      </c>
      <c r="J25" s="6">
        <f t="shared" si="1"/>
        <v>9</v>
      </c>
      <c r="K25" s="16" t="str">
        <f t="shared" si="2"/>
        <v>2:B0</v>
      </c>
      <c r="L25" s="16" t="str">
        <f t="shared" si="3"/>
        <v>CSn009</v>
      </c>
      <c r="M25" s="16" t="str">
        <f t="shared" ca="1" si="5"/>
        <v>CS6009</v>
      </c>
      <c r="N25" s="227" t="s">
        <v>806</v>
      </c>
      <c r="O25" s="276"/>
      <c r="P25" s="322" t="s">
        <v>792</v>
      </c>
    </row>
    <row r="26" spans="1:45" x14ac:dyDescent="0.2">
      <c r="B26" s="152" t="s">
        <v>46</v>
      </c>
      <c r="C26" s="230" t="s">
        <v>707</v>
      </c>
      <c r="D26" s="230" t="s">
        <v>785</v>
      </c>
      <c r="E26" s="315" t="str">
        <f t="shared" si="4"/>
        <v>CTC_XOVR_LEFT:TO_RUR</v>
      </c>
      <c r="F26" s="234" t="s">
        <v>74</v>
      </c>
      <c r="G26" s="234" t="s">
        <v>782</v>
      </c>
      <c r="H26" s="230" t="s">
        <v>26</v>
      </c>
      <c r="I26" s="10">
        <v>0</v>
      </c>
      <c r="J26" s="6">
        <f t="shared" si="1"/>
        <v>10</v>
      </c>
      <c r="K26" s="16" t="str">
        <f t="shared" si="2"/>
        <v>2:B1</v>
      </c>
      <c r="L26" s="16" t="str">
        <f t="shared" si="3"/>
        <v>CSn010</v>
      </c>
      <c r="M26" s="16" t="str">
        <f t="shared" ca="1" si="5"/>
        <v>CS6010</v>
      </c>
      <c r="N26" s="227" t="s">
        <v>811</v>
      </c>
      <c r="O26" s="276"/>
      <c r="P26" s="322" t="s">
        <v>808</v>
      </c>
    </row>
    <row r="27" spans="1:45" x14ac:dyDescent="0.2">
      <c r="B27" s="152" t="s">
        <v>46</v>
      </c>
      <c r="C27" s="230" t="s">
        <v>135</v>
      </c>
      <c r="D27" s="230" t="s">
        <v>135</v>
      </c>
      <c r="E27" s="314" t="str">
        <f t="shared" si="4"/>
        <v>-</v>
      </c>
      <c r="F27" s="234" t="s">
        <v>74</v>
      </c>
      <c r="G27" s="234"/>
      <c r="H27" s="230" t="s">
        <v>26</v>
      </c>
      <c r="I27" s="10">
        <v>0</v>
      </c>
      <c r="J27" s="6">
        <f t="shared" si="1"/>
        <v>11</v>
      </c>
      <c r="K27" s="16" t="str">
        <f t="shared" si="2"/>
        <v>2:B2</v>
      </c>
      <c r="L27" s="16" t="str">
        <f t="shared" si="3"/>
        <v>CSn011</v>
      </c>
      <c r="M27" s="16" t="str">
        <f t="shared" ca="1" si="5"/>
        <v>CS6011</v>
      </c>
      <c r="N27" s="227"/>
      <c r="O27" s="227"/>
      <c r="P27" s="322" t="s">
        <v>74</v>
      </c>
    </row>
    <row r="28" spans="1:45" x14ac:dyDescent="0.2">
      <c r="B28" s="152" t="s">
        <v>46</v>
      </c>
      <c r="C28" s="230" t="s">
        <v>135</v>
      </c>
      <c r="D28" s="230" t="s">
        <v>135</v>
      </c>
      <c r="E28" s="314" t="str">
        <f t="shared" si="4"/>
        <v>-</v>
      </c>
      <c r="F28" s="234" t="s">
        <v>74</v>
      </c>
      <c r="G28" s="234"/>
      <c r="H28" s="230" t="s">
        <v>26</v>
      </c>
      <c r="I28" s="10">
        <v>0</v>
      </c>
      <c r="J28" s="6">
        <f t="shared" si="1"/>
        <v>12</v>
      </c>
      <c r="K28" s="16" t="str">
        <f t="shared" si="2"/>
        <v>2:B3</v>
      </c>
      <c r="L28" s="16" t="str">
        <f t="shared" si="3"/>
        <v>CSn012</v>
      </c>
      <c r="M28" s="16" t="str">
        <f t="shared" ca="1" si="5"/>
        <v>CS6012</v>
      </c>
      <c r="N28" s="227"/>
      <c r="O28" s="227"/>
      <c r="P28" s="322" t="s">
        <v>74</v>
      </c>
    </row>
    <row r="29" spans="1:45" x14ac:dyDescent="0.2">
      <c r="B29" s="152" t="s">
        <v>46</v>
      </c>
      <c r="C29" s="230" t="s">
        <v>135</v>
      </c>
      <c r="D29" s="230" t="s">
        <v>135</v>
      </c>
      <c r="E29" s="314" t="str">
        <f t="shared" si="4"/>
        <v>-</v>
      </c>
      <c r="F29" s="234" t="s">
        <v>74</v>
      </c>
      <c r="G29" s="234"/>
      <c r="H29" s="230" t="s">
        <v>26</v>
      </c>
      <c r="I29" s="10">
        <v>0</v>
      </c>
      <c r="J29" s="6">
        <f t="shared" si="1"/>
        <v>13</v>
      </c>
      <c r="K29" s="16" t="str">
        <f t="shared" si="2"/>
        <v>2:B4</v>
      </c>
      <c r="L29" s="16" t="str">
        <f t="shared" si="3"/>
        <v>CSn013</v>
      </c>
      <c r="M29" s="16" t="str">
        <f t="shared" ca="1" si="5"/>
        <v>CS6013</v>
      </c>
      <c r="N29" s="227"/>
      <c r="O29" s="227"/>
      <c r="P29" s="322" t="s">
        <v>74</v>
      </c>
    </row>
    <row r="30" spans="1:45" x14ac:dyDescent="0.2">
      <c r="B30" s="152" t="s">
        <v>46</v>
      </c>
      <c r="C30" s="230" t="s">
        <v>135</v>
      </c>
      <c r="D30" s="230" t="s">
        <v>135</v>
      </c>
      <c r="E30" s="314" t="str">
        <f t="shared" si="4"/>
        <v>-</v>
      </c>
      <c r="F30" s="234" t="s">
        <v>74</v>
      </c>
      <c r="G30" s="234"/>
      <c r="H30" s="230" t="s">
        <v>26</v>
      </c>
      <c r="I30" s="10">
        <v>0</v>
      </c>
      <c r="J30" s="6">
        <f t="shared" si="1"/>
        <v>14</v>
      </c>
      <c r="K30" s="16" t="str">
        <f t="shared" si="2"/>
        <v>2:B5</v>
      </c>
      <c r="L30" s="16" t="str">
        <f t="shared" si="3"/>
        <v>CSn014</v>
      </c>
      <c r="M30" s="16" t="str">
        <f t="shared" ca="1" si="5"/>
        <v>CS6014</v>
      </c>
      <c r="N30" s="227"/>
      <c r="O30" s="227"/>
      <c r="P30" s="322" t="s">
        <v>74</v>
      </c>
    </row>
    <row r="31" spans="1:45" x14ac:dyDescent="0.2">
      <c r="B31" s="152" t="s">
        <v>46</v>
      </c>
      <c r="C31" s="230" t="s">
        <v>135</v>
      </c>
      <c r="D31" s="230" t="s">
        <v>135</v>
      </c>
      <c r="E31" s="314" t="str">
        <f t="shared" si="4"/>
        <v>-</v>
      </c>
      <c r="F31" s="234" t="s">
        <v>74</v>
      </c>
      <c r="G31" s="234"/>
      <c r="H31" s="230" t="s">
        <v>26</v>
      </c>
      <c r="I31" s="10">
        <v>0</v>
      </c>
      <c r="J31" s="6">
        <f t="shared" si="1"/>
        <v>15</v>
      </c>
      <c r="K31" s="16" t="str">
        <f t="shared" si="2"/>
        <v>2:B6</v>
      </c>
      <c r="L31" s="16" t="str">
        <f t="shared" si="3"/>
        <v>CSn015</v>
      </c>
      <c r="M31" s="16" t="str">
        <f t="shared" ca="1" si="5"/>
        <v>CS6015</v>
      </c>
      <c r="N31" s="227"/>
      <c r="O31" s="227"/>
      <c r="P31" s="322" t="s">
        <v>74</v>
      </c>
    </row>
    <row r="32" spans="1:45" x14ac:dyDescent="0.2">
      <c r="B32" s="152" t="s">
        <v>46</v>
      </c>
      <c r="C32" s="230" t="s">
        <v>135</v>
      </c>
      <c r="D32" s="230" t="s">
        <v>135</v>
      </c>
      <c r="E32" s="314" t="str">
        <f t="shared" si="4"/>
        <v>-</v>
      </c>
      <c r="F32" s="234" t="s">
        <v>74</v>
      </c>
      <c r="G32" s="234"/>
      <c r="H32" s="230" t="s">
        <v>26</v>
      </c>
      <c r="I32" s="10">
        <v>0</v>
      </c>
      <c r="J32" s="6">
        <f t="shared" si="1"/>
        <v>16</v>
      </c>
      <c r="K32" s="16" t="str">
        <f t="shared" si="2"/>
        <v>2:B7</v>
      </c>
      <c r="L32" s="16" t="str">
        <f t="shared" si="3"/>
        <v>CSn016</v>
      </c>
      <c r="M32" s="16" t="str">
        <f t="shared" ca="1" si="5"/>
        <v>CS6016</v>
      </c>
      <c r="N32" s="227"/>
      <c r="O32" s="227"/>
      <c r="P32" s="322" t="s">
        <v>74</v>
      </c>
    </row>
    <row r="33" spans="2:16" x14ac:dyDescent="0.2">
      <c r="B33" s="152" t="s">
        <v>46</v>
      </c>
      <c r="C33" s="230" t="s">
        <v>135</v>
      </c>
      <c r="D33" s="230" t="s">
        <v>135</v>
      </c>
      <c r="E33" s="314" t="str">
        <f t="shared" si="4"/>
        <v>-</v>
      </c>
      <c r="F33" s="234" t="s">
        <v>74</v>
      </c>
      <c r="G33" s="234"/>
      <c r="H33" s="230" t="s">
        <v>26</v>
      </c>
      <c r="I33" s="10">
        <v>0</v>
      </c>
      <c r="J33" s="6">
        <f t="shared" si="1"/>
        <v>17</v>
      </c>
      <c r="K33" s="16" t="str">
        <f t="shared" si="2"/>
        <v>2:C0</v>
      </c>
      <c r="L33" s="16" t="str">
        <f t="shared" si="3"/>
        <v>CSn017</v>
      </c>
      <c r="M33" s="16" t="str">
        <f t="shared" ca="1" si="5"/>
        <v>CS6017</v>
      </c>
      <c r="N33" s="227"/>
      <c r="O33" s="227"/>
      <c r="P33" s="322" t="s">
        <v>74</v>
      </c>
    </row>
    <row r="34" spans="2:16" x14ac:dyDescent="0.2">
      <c r="B34" s="152" t="s">
        <v>46</v>
      </c>
      <c r="C34" s="230" t="s">
        <v>135</v>
      </c>
      <c r="D34" s="230" t="s">
        <v>135</v>
      </c>
      <c r="E34" s="314" t="str">
        <f t="shared" si="4"/>
        <v>-</v>
      </c>
      <c r="F34" s="234" t="s">
        <v>74</v>
      </c>
      <c r="G34" s="234"/>
      <c r="H34" s="230" t="s">
        <v>26</v>
      </c>
      <c r="I34" s="10">
        <v>0</v>
      </c>
      <c r="J34" s="6">
        <f t="shared" si="1"/>
        <v>18</v>
      </c>
      <c r="K34" s="16" t="str">
        <f t="shared" si="2"/>
        <v>2:C1</v>
      </c>
      <c r="L34" s="16" t="str">
        <f t="shared" si="3"/>
        <v>CSn018</v>
      </c>
      <c r="M34" s="16" t="str">
        <f t="shared" ca="1" si="5"/>
        <v>CS6018</v>
      </c>
      <c r="N34" s="227"/>
      <c r="O34" s="227"/>
      <c r="P34" s="322" t="s">
        <v>74</v>
      </c>
    </row>
    <row r="35" spans="2:16" x14ac:dyDescent="0.2">
      <c r="B35" s="152" t="s">
        <v>46</v>
      </c>
      <c r="C35" s="230" t="s">
        <v>135</v>
      </c>
      <c r="D35" s="230" t="s">
        <v>135</v>
      </c>
      <c r="E35" s="314" t="str">
        <f t="shared" si="4"/>
        <v>-</v>
      </c>
      <c r="F35" s="234" t="s">
        <v>74</v>
      </c>
      <c r="G35" s="234"/>
      <c r="H35" s="230" t="s">
        <v>26</v>
      </c>
      <c r="I35" s="10">
        <v>0</v>
      </c>
      <c r="J35" s="6">
        <f t="shared" si="1"/>
        <v>19</v>
      </c>
      <c r="K35" s="16" t="str">
        <f t="shared" si="2"/>
        <v>2:C2</v>
      </c>
      <c r="L35" s="16" t="str">
        <f t="shared" si="3"/>
        <v>CSn019</v>
      </c>
      <c r="M35" s="16" t="str">
        <f t="shared" ca="1" si="5"/>
        <v>CS6019</v>
      </c>
      <c r="N35" s="227"/>
      <c r="O35" s="227"/>
      <c r="P35" s="322" t="s">
        <v>74</v>
      </c>
    </row>
    <row r="36" spans="2:16" x14ac:dyDescent="0.2">
      <c r="B36" s="152" t="s">
        <v>46</v>
      </c>
      <c r="C36" s="230" t="s">
        <v>135</v>
      </c>
      <c r="D36" s="230" t="s">
        <v>135</v>
      </c>
      <c r="E36" s="314" t="str">
        <f t="shared" si="4"/>
        <v>-</v>
      </c>
      <c r="F36" s="234" t="s">
        <v>74</v>
      </c>
      <c r="G36" s="234"/>
      <c r="H36" s="230" t="s">
        <v>26</v>
      </c>
      <c r="I36" s="10">
        <v>0</v>
      </c>
      <c r="J36" s="6">
        <f t="shared" si="1"/>
        <v>20</v>
      </c>
      <c r="K36" s="16" t="str">
        <f t="shared" si="2"/>
        <v>2:C3</v>
      </c>
      <c r="L36" s="16" t="str">
        <f t="shared" si="3"/>
        <v>CSn020</v>
      </c>
      <c r="M36" s="16" t="str">
        <f t="shared" ca="1" si="5"/>
        <v>CS6020</v>
      </c>
      <c r="N36" s="227"/>
      <c r="O36" s="227"/>
      <c r="P36" s="322" t="s">
        <v>74</v>
      </c>
    </row>
    <row r="37" spans="2:16" x14ac:dyDescent="0.2">
      <c r="B37" s="152" t="s">
        <v>46</v>
      </c>
      <c r="C37" s="230" t="s">
        <v>135</v>
      </c>
      <c r="D37" s="230" t="s">
        <v>135</v>
      </c>
      <c r="E37" s="316" t="str">
        <f t="shared" si="4"/>
        <v>-</v>
      </c>
      <c r="F37" s="234" t="s">
        <v>74</v>
      </c>
      <c r="G37" s="234"/>
      <c r="H37" s="230" t="s">
        <v>26</v>
      </c>
      <c r="I37" s="10">
        <v>0</v>
      </c>
      <c r="J37" s="10">
        <f t="shared" si="1"/>
        <v>21</v>
      </c>
      <c r="K37" s="17" t="str">
        <f t="shared" si="2"/>
        <v>2:C4</v>
      </c>
      <c r="L37" s="17" t="str">
        <f t="shared" si="3"/>
        <v>CSn021</v>
      </c>
      <c r="M37" s="17" t="str">
        <f t="shared" ca="1" si="5"/>
        <v>CS6021</v>
      </c>
      <c r="N37" s="227"/>
      <c r="O37" s="227"/>
      <c r="P37" s="322" t="s">
        <v>74</v>
      </c>
    </row>
    <row r="38" spans="2:16" x14ac:dyDescent="0.2">
      <c r="B38" s="152" t="s">
        <v>46</v>
      </c>
      <c r="C38" s="230" t="s">
        <v>135</v>
      </c>
      <c r="D38" s="230" t="s">
        <v>135</v>
      </c>
      <c r="E38" s="316" t="str">
        <f t="shared" si="4"/>
        <v>-</v>
      </c>
      <c r="F38" s="234" t="s">
        <v>74</v>
      </c>
      <c r="G38" s="234"/>
      <c r="H38" s="230" t="s">
        <v>26</v>
      </c>
      <c r="I38" s="10">
        <v>0</v>
      </c>
      <c r="J38" s="10">
        <f t="shared" si="1"/>
        <v>22</v>
      </c>
      <c r="K38" s="17" t="str">
        <f t="shared" si="2"/>
        <v>2:C5</v>
      </c>
      <c r="L38" s="17" t="str">
        <f t="shared" si="3"/>
        <v>CSn022</v>
      </c>
      <c r="M38" s="17" t="str">
        <f t="shared" ca="1" si="5"/>
        <v>CS6022</v>
      </c>
      <c r="N38" s="227"/>
      <c r="O38" s="227"/>
      <c r="P38" s="322" t="s">
        <v>74</v>
      </c>
    </row>
    <row r="39" spans="2:16" x14ac:dyDescent="0.2">
      <c r="B39" s="152" t="s">
        <v>46</v>
      </c>
      <c r="C39" s="230" t="s">
        <v>135</v>
      </c>
      <c r="D39" s="230" t="s">
        <v>135</v>
      </c>
      <c r="E39" s="314" t="str">
        <f t="shared" si="4"/>
        <v>-</v>
      </c>
      <c r="F39" s="230" t="s">
        <v>74</v>
      </c>
      <c r="G39" s="230"/>
      <c r="H39" s="230" t="s">
        <v>26</v>
      </c>
      <c r="I39" s="10">
        <v>0</v>
      </c>
      <c r="J39" s="10">
        <f t="shared" si="1"/>
        <v>23</v>
      </c>
      <c r="K39" s="17" t="str">
        <f t="shared" si="2"/>
        <v>2:C6</v>
      </c>
      <c r="L39" s="17" t="str">
        <f t="shared" si="3"/>
        <v>CSn023</v>
      </c>
      <c r="M39" s="17" t="str">
        <f t="shared" ca="1" si="5"/>
        <v>CS6023</v>
      </c>
      <c r="N39" s="227"/>
      <c r="O39" s="227"/>
      <c r="P39" s="322" t="s">
        <v>74</v>
      </c>
    </row>
    <row r="40" spans="2:16" ht="16" thickBot="1" x14ac:dyDescent="0.25">
      <c r="B40" s="136" t="s">
        <v>46</v>
      </c>
      <c r="C40" s="137" t="s">
        <v>135</v>
      </c>
      <c r="D40" s="137" t="s">
        <v>135</v>
      </c>
      <c r="E40" s="317" t="str">
        <f t="shared" si="4"/>
        <v>-</v>
      </c>
      <c r="F40" s="137" t="s">
        <v>74</v>
      </c>
      <c r="G40" s="137"/>
      <c r="H40" s="137" t="s">
        <v>26</v>
      </c>
      <c r="I40" s="12">
        <v>0</v>
      </c>
      <c r="J40" s="12">
        <f t="shared" si="1"/>
        <v>24</v>
      </c>
      <c r="K40" s="18" t="str">
        <f t="shared" si="2"/>
        <v>2:C7</v>
      </c>
      <c r="L40" s="18" t="str">
        <f t="shared" si="3"/>
        <v>CSn024</v>
      </c>
      <c r="M40" s="18" t="str">
        <f t="shared" ca="1" si="5"/>
        <v>CS6024</v>
      </c>
      <c r="N40" s="228"/>
      <c r="O40" s="228"/>
      <c r="P40" s="323" t="s">
        <v>74</v>
      </c>
    </row>
    <row r="41" spans="2:16" x14ac:dyDescent="0.2">
      <c r="B41" s="231" t="s">
        <v>50</v>
      </c>
      <c r="C41" s="232" t="s">
        <v>707</v>
      </c>
      <c r="D41" s="232" t="s">
        <v>713</v>
      </c>
      <c r="E41" s="318" t="str">
        <f t="shared" si="4"/>
        <v>CTC_XOVR_LEFT:OME:DBL:HEAD0:RED</v>
      </c>
      <c r="F41" s="232" t="s">
        <v>74</v>
      </c>
      <c r="G41" s="232" t="s">
        <v>783</v>
      </c>
      <c r="H41" s="232" t="s">
        <v>26</v>
      </c>
      <c r="I41" s="29">
        <v>0</v>
      </c>
      <c r="J41" s="29">
        <f t="shared" si="1"/>
        <v>1</v>
      </c>
      <c r="K41" s="312" t="str">
        <f t="shared" si="2"/>
        <v>0:A0</v>
      </c>
      <c r="L41" s="312" t="str">
        <f t="shared" si="3"/>
        <v>CTn001</v>
      </c>
      <c r="M41" s="312" t="str">
        <f t="shared" ca="1" si="5"/>
        <v>CT6001</v>
      </c>
      <c r="N41" s="229" t="s">
        <v>568</v>
      </c>
      <c r="O41" s="229" t="s">
        <v>689</v>
      </c>
      <c r="P41" s="324" t="s">
        <v>722</v>
      </c>
    </row>
    <row r="42" spans="2:16" x14ac:dyDescent="0.2">
      <c r="B42" s="152" t="s">
        <v>50</v>
      </c>
      <c r="C42" s="230" t="s">
        <v>707</v>
      </c>
      <c r="D42" s="230" t="s">
        <v>713</v>
      </c>
      <c r="E42" s="315" t="str">
        <f t="shared" si="4"/>
        <v>CTC_XOVR_LEFT:OME:DBL:HEAD0:YEL</v>
      </c>
      <c r="F42" s="230" t="s">
        <v>74</v>
      </c>
      <c r="G42" s="230" t="s">
        <v>783</v>
      </c>
      <c r="H42" s="230" t="s">
        <v>26</v>
      </c>
      <c r="I42" s="10">
        <v>0</v>
      </c>
      <c r="J42" s="10">
        <f t="shared" si="1"/>
        <v>2</v>
      </c>
      <c r="K42" s="17" t="str">
        <f t="shared" si="2"/>
        <v>0:A1</v>
      </c>
      <c r="L42" s="17" t="str">
        <f t="shared" si="3"/>
        <v>CTn002</v>
      </c>
      <c r="M42" s="17" t="str">
        <f t="shared" ca="1" si="5"/>
        <v>CT6002</v>
      </c>
      <c r="N42" s="227" t="s">
        <v>569</v>
      </c>
      <c r="O42" s="227" t="s">
        <v>692</v>
      </c>
      <c r="P42" s="322" t="s">
        <v>723</v>
      </c>
    </row>
    <row r="43" spans="2:16" x14ac:dyDescent="0.2">
      <c r="B43" s="152" t="s">
        <v>50</v>
      </c>
      <c r="C43" s="230" t="s">
        <v>707</v>
      </c>
      <c r="D43" s="230" t="s">
        <v>713</v>
      </c>
      <c r="E43" s="315" t="str">
        <f t="shared" si="4"/>
        <v>CTC_XOVR_LEFT:OME:DBL:HEAD0:GRN</v>
      </c>
      <c r="F43" s="230" t="s">
        <v>74</v>
      </c>
      <c r="G43" s="230" t="s">
        <v>783</v>
      </c>
      <c r="H43" s="230" t="s">
        <v>26</v>
      </c>
      <c r="I43" s="10">
        <v>0</v>
      </c>
      <c r="J43" s="10">
        <f t="shared" si="1"/>
        <v>3</v>
      </c>
      <c r="K43" s="17" t="str">
        <f t="shared" si="2"/>
        <v>0:A2</v>
      </c>
      <c r="L43" s="17" t="str">
        <f t="shared" si="3"/>
        <v>CTn003</v>
      </c>
      <c r="M43" s="17" t="str">
        <f t="shared" ca="1" si="5"/>
        <v>CT6003</v>
      </c>
      <c r="N43" s="227" t="s">
        <v>570</v>
      </c>
      <c r="O43" s="227" t="s">
        <v>693</v>
      </c>
      <c r="P43" s="322" t="s">
        <v>721</v>
      </c>
    </row>
    <row r="44" spans="2:16" x14ac:dyDescent="0.2">
      <c r="B44" s="152" t="s">
        <v>50</v>
      </c>
      <c r="C44" s="230" t="s">
        <v>707</v>
      </c>
      <c r="D44" s="230" t="s">
        <v>713</v>
      </c>
      <c r="E44" s="315" t="str">
        <f t="shared" si="4"/>
        <v>CTC_XOVR_LEFT:OME:DBL:HEAD1:RED</v>
      </c>
      <c r="F44" s="230" t="s">
        <v>74</v>
      </c>
      <c r="G44" s="230" t="s">
        <v>783</v>
      </c>
      <c r="H44" s="230" t="s">
        <v>26</v>
      </c>
      <c r="I44" s="10">
        <v>0</v>
      </c>
      <c r="J44" s="10">
        <f t="shared" si="1"/>
        <v>4</v>
      </c>
      <c r="K44" s="17" t="str">
        <f t="shared" si="2"/>
        <v>0:A3</v>
      </c>
      <c r="L44" s="17" t="str">
        <f t="shared" si="3"/>
        <v>CTn004</v>
      </c>
      <c r="M44" s="17" t="str">
        <f t="shared" ca="1" si="5"/>
        <v>CT6004</v>
      </c>
      <c r="N44" s="227" t="s">
        <v>571</v>
      </c>
      <c r="O44" s="227" t="s">
        <v>694</v>
      </c>
      <c r="P44" s="322" t="s">
        <v>719</v>
      </c>
    </row>
    <row r="45" spans="2:16" x14ac:dyDescent="0.2">
      <c r="B45" s="152" t="s">
        <v>50</v>
      </c>
      <c r="C45" s="230" t="s">
        <v>707</v>
      </c>
      <c r="D45" s="230" t="s">
        <v>713</v>
      </c>
      <c r="E45" s="315" t="str">
        <f t="shared" si="4"/>
        <v>CTC_XOVR_LEFT:OME:DBL:HEAD1:YEL</v>
      </c>
      <c r="F45" s="230" t="s">
        <v>74</v>
      </c>
      <c r="G45" s="230" t="s">
        <v>783</v>
      </c>
      <c r="H45" s="230" t="s">
        <v>26</v>
      </c>
      <c r="I45" s="10">
        <v>0</v>
      </c>
      <c r="J45" s="10">
        <f t="shared" si="1"/>
        <v>5</v>
      </c>
      <c r="K45" s="17" t="str">
        <f t="shared" si="2"/>
        <v>0:A4</v>
      </c>
      <c r="L45" s="17" t="str">
        <f t="shared" si="3"/>
        <v>CTn005</v>
      </c>
      <c r="M45" s="17" t="str">
        <f t="shared" ca="1" si="5"/>
        <v>CT6005</v>
      </c>
      <c r="N45" s="227" t="s">
        <v>572</v>
      </c>
      <c r="O45" s="227" t="s">
        <v>695</v>
      </c>
      <c r="P45" s="322" t="s">
        <v>720</v>
      </c>
    </row>
    <row r="46" spans="2:16" x14ac:dyDescent="0.2">
      <c r="B46" s="152" t="s">
        <v>50</v>
      </c>
      <c r="C46" s="230" t="s">
        <v>707</v>
      </c>
      <c r="D46" s="230" t="s">
        <v>713</v>
      </c>
      <c r="E46" s="315" t="str">
        <f t="shared" si="4"/>
        <v>CTC_XOVR_LEFT:OME:DBL:HEAD1:GRN</v>
      </c>
      <c r="F46" s="230" t="s">
        <v>74</v>
      </c>
      <c r="G46" s="230" t="s">
        <v>783</v>
      </c>
      <c r="H46" s="230" t="s">
        <v>26</v>
      </c>
      <c r="I46" s="10">
        <v>0</v>
      </c>
      <c r="J46" s="10">
        <f t="shared" si="1"/>
        <v>6</v>
      </c>
      <c r="K46" s="17" t="str">
        <f t="shared" si="2"/>
        <v>0:A5</v>
      </c>
      <c r="L46" s="17" t="str">
        <f t="shared" si="3"/>
        <v>CTn006</v>
      </c>
      <c r="M46" s="17" t="str">
        <f t="shared" ca="1" si="5"/>
        <v>CT6006</v>
      </c>
      <c r="N46" s="227" t="s">
        <v>573</v>
      </c>
      <c r="O46" s="227" t="s">
        <v>691</v>
      </c>
      <c r="P46" s="322" t="s">
        <v>718</v>
      </c>
    </row>
    <row r="47" spans="2:16" x14ac:dyDescent="0.2">
      <c r="B47" s="152" t="s">
        <v>50</v>
      </c>
      <c r="C47" s="230" t="s">
        <v>707</v>
      </c>
      <c r="D47" s="230" t="s">
        <v>712</v>
      </c>
      <c r="E47" s="315" t="str">
        <f t="shared" si="4"/>
        <v>CTC_XOVR_LEFT:TO_SRC</v>
      </c>
      <c r="F47" s="230" t="s">
        <v>74</v>
      </c>
      <c r="G47" s="230" t="s">
        <v>782</v>
      </c>
      <c r="H47" s="230" t="s">
        <v>26</v>
      </c>
      <c r="I47" s="10">
        <v>0</v>
      </c>
      <c r="J47" s="10">
        <f t="shared" si="1"/>
        <v>7</v>
      </c>
      <c r="K47" s="17" t="str">
        <f t="shared" si="2"/>
        <v>0:A6</v>
      </c>
      <c r="L47" s="17" t="str">
        <f t="shared" si="3"/>
        <v>CTn007</v>
      </c>
      <c r="M47" s="17" t="str">
        <f t="shared" ca="1" si="5"/>
        <v>CT6007</v>
      </c>
      <c r="N47" s="227" t="s">
        <v>802</v>
      </c>
      <c r="O47" s="227"/>
      <c r="P47" s="322" t="s">
        <v>795</v>
      </c>
    </row>
    <row r="48" spans="2:16" x14ac:dyDescent="0.2">
      <c r="B48" s="152" t="s">
        <v>50</v>
      </c>
      <c r="C48" s="230" t="s">
        <v>707</v>
      </c>
      <c r="D48" s="230" t="s">
        <v>791</v>
      </c>
      <c r="E48" s="315" t="str">
        <f t="shared" si="4"/>
        <v>CTC_XOVR_LEFT:TO_TULO</v>
      </c>
      <c r="F48" s="230" t="s">
        <v>74</v>
      </c>
      <c r="G48" s="230" t="s">
        <v>782</v>
      </c>
      <c r="H48" s="230" t="s">
        <v>26</v>
      </c>
      <c r="I48" s="10">
        <v>0</v>
      </c>
      <c r="J48" s="10">
        <f t="shared" si="1"/>
        <v>8</v>
      </c>
      <c r="K48" s="17" t="str">
        <f t="shared" si="2"/>
        <v>0:A7</v>
      </c>
      <c r="L48" s="17" t="str">
        <f t="shared" si="3"/>
        <v>CTn008</v>
      </c>
      <c r="M48" s="17" t="str">
        <f t="shared" ca="1" si="5"/>
        <v>CT6008</v>
      </c>
      <c r="N48" s="227" t="s">
        <v>798</v>
      </c>
      <c r="O48" s="227"/>
      <c r="P48" s="322" t="s">
        <v>796</v>
      </c>
    </row>
    <row r="49" spans="2:16" x14ac:dyDescent="0.2">
      <c r="B49" s="152" t="s">
        <v>50</v>
      </c>
      <c r="C49" s="230" t="s">
        <v>707</v>
      </c>
      <c r="D49" s="230" t="s">
        <v>713</v>
      </c>
      <c r="E49" s="315" t="str">
        <f t="shared" si="4"/>
        <v>CTC_XOVR_LEFT:OMW:DBL:HEAD0:RED</v>
      </c>
      <c r="F49" s="230" t="s">
        <v>74</v>
      </c>
      <c r="G49" s="230" t="s">
        <v>783</v>
      </c>
      <c r="H49" s="230" t="s">
        <v>26</v>
      </c>
      <c r="I49" s="10">
        <v>0</v>
      </c>
      <c r="J49" s="10">
        <f t="shared" ref="J49:J80" si="7">IF(AND(H49=H48,B49=B48), J48+1,1)</f>
        <v>9</v>
      </c>
      <c r="K49" s="17" t="str">
        <f t="shared" ref="K49:K80" si="8">VLOOKUP(H49,SMINIPinTable,3+J49+(IF(B49="IN",0,1)*VLOOKUP(H49,SMINIPinTable,2,TRUE)),TRUE)</f>
        <v>0:B0</v>
      </c>
      <c r="L49" s="17" t="str">
        <f t="shared" ref="L49:L80" si="9">VLOOKUP(H49,SMINIJMRITable,3+J49+(IF(B49="IN",0,1)*VLOOKUP(H49,SMINIJMRITable,2,TRUE)),TRUE)</f>
        <v>CTn009</v>
      </c>
      <c r="M49" s="17" t="str">
        <f t="shared" ca="1" si="5"/>
        <v>CT6009</v>
      </c>
      <c r="N49" s="227" t="s">
        <v>574</v>
      </c>
      <c r="O49" s="227" t="s">
        <v>690</v>
      </c>
      <c r="P49" s="322" t="s">
        <v>734</v>
      </c>
    </row>
    <row r="50" spans="2:16" x14ac:dyDescent="0.2">
      <c r="B50" s="152" t="s">
        <v>50</v>
      </c>
      <c r="C50" s="230" t="s">
        <v>707</v>
      </c>
      <c r="D50" s="230" t="s">
        <v>713</v>
      </c>
      <c r="E50" s="315" t="str">
        <f t="shared" si="4"/>
        <v>CTC_XOVR_LEFT:OMW:DBL:HEAD0:YEL</v>
      </c>
      <c r="F50" s="230" t="s">
        <v>74</v>
      </c>
      <c r="G50" s="230" t="s">
        <v>783</v>
      </c>
      <c r="H50" s="230" t="s">
        <v>26</v>
      </c>
      <c r="I50" s="10">
        <v>0</v>
      </c>
      <c r="J50" s="10">
        <f t="shared" si="7"/>
        <v>10</v>
      </c>
      <c r="K50" s="17" t="str">
        <f t="shared" si="8"/>
        <v>0:B1</v>
      </c>
      <c r="L50" s="17" t="str">
        <f t="shared" si="9"/>
        <v>CTn010</v>
      </c>
      <c r="M50" s="17" t="str">
        <f t="shared" ca="1" si="5"/>
        <v>CT6010</v>
      </c>
      <c r="N50" s="227" t="s">
        <v>575</v>
      </c>
      <c r="O50" s="227" t="s">
        <v>696</v>
      </c>
      <c r="P50" s="322" t="s">
        <v>735</v>
      </c>
    </row>
    <row r="51" spans="2:16" x14ac:dyDescent="0.2">
      <c r="B51" s="152" t="s">
        <v>50</v>
      </c>
      <c r="C51" s="230" t="s">
        <v>707</v>
      </c>
      <c r="D51" s="230" t="s">
        <v>713</v>
      </c>
      <c r="E51" s="315" t="str">
        <f t="shared" si="4"/>
        <v>CTC_XOVR_LEFT:OMW:DBL:HEAD0:GRN</v>
      </c>
      <c r="F51" s="230" t="s">
        <v>74</v>
      </c>
      <c r="G51" s="230" t="s">
        <v>783</v>
      </c>
      <c r="H51" s="230" t="s">
        <v>26</v>
      </c>
      <c r="I51" s="10">
        <v>0</v>
      </c>
      <c r="J51" s="10">
        <f t="shared" si="7"/>
        <v>11</v>
      </c>
      <c r="K51" s="17" t="str">
        <f t="shared" si="8"/>
        <v>0:B2</v>
      </c>
      <c r="L51" s="17" t="str">
        <f t="shared" si="9"/>
        <v>CTn011</v>
      </c>
      <c r="M51" s="17" t="str">
        <f t="shared" ca="1" si="5"/>
        <v>CT6011</v>
      </c>
      <c r="N51" s="227" t="s">
        <v>576</v>
      </c>
      <c r="O51" s="227" t="s">
        <v>688</v>
      </c>
      <c r="P51" s="322" t="s">
        <v>733</v>
      </c>
    </row>
    <row r="52" spans="2:16" x14ac:dyDescent="0.2">
      <c r="B52" s="152" t="s">
        <v>50</v>
      </c>
      <c r="C52" s="230" t="s">
        <v>707</v>
      </c>
      <c r="D52" s="230" t="s">
        <v>713</v>
      </c>
      <c r="E52" s="315" t="str">
        <f t="shared" si="4"/>
        <v>CTC_XOVR_LEFT:OMW:DBL:HEAD1:RED</v>
      </c>
      <c r="F52" s="230" t="s">
        <v>74</v>
      </c>
      <c r="G52" s="230" t="s">
        <v>783</v>
      </c>
      <c r="H52" s="230" t="s">
        <v>26</v>
      </c>
      <c r="I52" s="10">
        <v>0</v>
      </c>
      <c r="J52" s="10">
        <f t="shared" si="7"/>
        <v>12</v>
      </c>
      <c r="K52" s="17" t="str">
        <f t="shared" si="8"/>
        <v>0:B3</v>
      </c>
      <c r="L52" s="17" t="str">
        <f t="shared" si="9"/>
        <v>CTn012</v>
      </c>
      <c r="M52" s="17" t="str">
        <f t="shared" ca="1" si="5"/>
        <v>CT6012</v>
      </c>
      <c r="N52" s="227" t="s">
        <v>577</v>
      </c>
      <c r="O52" s="227" t="s">
        <v>697</v>
      </c>
      <c r="P52" s="322" t="s">
        <v>731</v>
      </c>
    </row>
    <row r="53" spans="2:16" x14ac:dyDescent="0.2">
      <c r="B53" s="152" t="s">
        <v>50</v>
      </c>
      <c r="C53" s="230" t="s">
        <v>707</v>
      </c>
      <c r="D53" s="230" t="s">
        <v>713</v>
      </c>
      <c r="E53" s="315" t="str">
        <f t="shared" si="4"/>
        <v>CTC_XOVR_LEFT:OMW:DBL:HEAD1:YEL</v>
      </c>
      <c r="F53" s="230" t="s">
        <v>74</v>
      </c>
      <c r="G53" s="230" t="s">
        <v>783</v>
      </c>
      <c r="H53" s="230" t="s">
        <v>26</v>
      </c>
      <c r="I53" s="10">
        <v>0</v>
      </c>
      <c r="J53" s="10">
        <f t="shared" si="7"/>
        <v>13</v>
      </c>
      <c r="K53" s="17" t="str">
        <f t="shared" si="8"/>
        <v>0:B4</v>
      </c>
      <c r="L53" s="17" t="str">
        <f t="shared" si="9"/>
        <v>CTn013</v>
      </c>
      <c r="M53" s="17" t="str">
        <f t="shared" ca="1" si="5"/>
        <v>CT6013</v>
      </c>
      <c r="N53" s="227" t="s">
        <v>578</v>
      </c>
      <c r="O53" s="227" t="s">
        <v>689</v>
      </c>
      <c r="P53" s="322" t="s">
        <v>732</v>
      </c>
    </row>
    <row r="54" spans="2:16" x14ac:dyDescent="0.2">
      <c r="B54" s="152" t="s">
        <v>50</v>
      </c>
      <c r="C54" s="230" t="s">
        <v>707</v>
      </c>
      <c r="D54" s="230" t="s">
        <v>713</v>
      </c>
      <c r="E54" s="315" t="str">
        <f t="shared" si="4"/>
        <v>CTC_XOVR_LEFT:OMW:DBL:HEAD1:GRN</v>
      </c>
      <c r="F54" s="230" t="s">
        <v>74</v>
      </c>
      <c r="G54" s="230" t="s">
        <v>783</v>
      </c>
      <c r="H54" s="230" t="s">
        <v>26</v>
      </c>
      <c r="I54" s="10">
        <v>0</v>
      </c>
      <c r="J54" s="10">
        <f t="shared" si="7"/>
        <v>14</v>
      </c>
      <c r="K54" s="17" t="str">
        <f t="shared" si="8"/>
        <v>0:B5</v>
      </c>
      <c r="L54" s="17" t="str">
        <f t="shared" si="9"/>
        <v>CTn014</v>
      </c>
      <c r="M54" s="17" t="str">
        <f t="shared" ca="1" si="5"/>
        <v>CT6014</v>
      </c>
      <c r="N54" s="227" t="s">
        <v>579</v>
      </c>
      <c r="O54" s="227" t="s">
        <v>692</v>
      </c>
      <c r="P54" s="322" t="s">
        <v>730</v>
      </c>
    </row>
    <row r="55" spans="2:16" x14ac:dyDescent="0.2">
      <c r="B55" s="152" t="s">
        <v>50</v>
      </c>
      <c r="C55" s="230" t="s">
        <v>135</v>
      </c>
      <c r="D55" s="230" t="s">
        <v>135</v>
      </c>
      <c r="E55" s="315" t="str">
        <f t="shared" si="4"/>
        <v>-</v>
      </c>
      <c r="F55" s="230" t="s">
        <v>74</v>
      </c>
      <c r="G55" s="230"/>
      <c r="H55" s="230" t="s">
        <v>26</v>
      </c>
      <c r="I55" s="10">
        <v>0</v>
      </c>
      <c r="J55" s="10">
        <f t="shared" si="7"/>
        <v>15</v>
      </c>
      <c r="K55" s="17" t="str">
        <f t="shared" si="8"/>
        <v>0:B6</v>
      </c>
      <c r="L55" s="17" t="str">
        <f t="shared" si="9"/>
        <v>CTn015</v>
      </c>
      <c r="M55" s="17" t="str">
        <f t="shared" ca="1" si="5"/>
        <v>CT6015</v>
      </c>
      <c r="N55" s="227"/>
      <c r="O55" s="227"/>
      <c r="P55" s="322" t="s">
        <v>74</v>
      </c>
    </row>
    <row r="56" spans="2:16" x14ac:dyDescent="0.2">
      <c r="B56" s="152" t="s">
        <v>50</v>
      </c>
      <c r="C56" s="230" t="s">
        <v>135</v>
      </c>
      <c r="D56" s="230" t="s">
        <v>135</v>
      </c>
      <c r="E56" s="315" t="str">
        <f t="shared" si="4"/>
        <v>-</v>
      </c>
      <c r="F56" s="230" t="s">
        <v>74</v>
      </c>
      <c r="G56" s="230"/>
      <c r="H56" s="230" t="s">
        <v>26</v>
      </c>
      <c r="I56" s="10">
        <v>0</v>
      </c>
      <c r="J56" s="10">
        <f t="shared" si="7"/>
        <v>16</v>
      </c>
      <c r="K56" s="17" t="str">
        <f t="shared" si="8"/>
        <v>0:B7</v>
      </c>
      <c r="L56" s="17" t="str">
        <f t="shared" si="9"/>
        <v>CTn016</v>
      </c>
      <c r="M56" s="17" t="str">
        <f t="shared" ca="1" si="5"/>
        <v>CT6016</v>
      </c>
      <c r="N56" s="227"/>
      <c r="O56" s="227"/>
      <c r="P56" s="322" t="s">
        <v>74</v>
      </c>
    </row>
    <row r="57" spans="2:16" x14ac:dyDescent="0.2">
      <c r="B57" s="152" t="s">
        <v>50</v>
      </c>
      <c r="C57" s="230" t="s">
        <v>135</v>
      </c>
      <c r="D57" s="230" t="s">
        <v>135</v>
      </c>
      <c r="E57" s="315" t="str">
        <f t="shared" si="4"/>
        <v>-</v>
      </c>
      <c r="F57" s="230" t="s">
        <v>74</v>
      </c>
      <c r="G57" s="230"/>
      <c r="H57" s="230" t="s">
        <v>26</v>
      </c>
      <c r="I57" s="10">
        <v>0</v>
      </c>
      <c r="J57" s="10">
        <f t="shared" si="7"/>
        <v>17</v>
      </c>
      <c r="K57" s="17" t="str">
        <f t="shared" si="8"/>
        <v>0:C0</v>
      </c>
      <c r="L57" s="17" t="str">
        <f t="shared" si="9"/>
        <v>CTn017</v>
      </c>
      <c r="M57" s="17" t="str">
        <f t="shared" ca="1" si="5"/>
        <v>CT6017</v>
      </c>
      <c r="N57" s="227"/>
      <c r="O57" s="227"/>
      <c r="P57" s="322" t="s">
        <v>74</v>
      </c>
    </row>
    <row r="58" spans="2:16" x14ac:dyDescent="0.2">
      <c r="B58" s="152" t="s">
        <v>50</v>
      </c>
      <c r="C58" s="230" t="s">
        <v>135</v>
      </c>
      <c r="D58" s="230" t="s">
        <v>135</v>
      </c>
      <c r="E58" s="315" t="str">
        <f t="shared" si="4"/>
        <v>-</v>
      </c>
      <c r="F58" s="230" t="s">
        <v>74</v>
      </c>
      <c r="G58" s="230"/>
      <c r="H58" s="230" t="s">
        <v>26</v>
      </c>
      <c r="I58" s="10">
        <v>0</v>
      </c>
      <c r="J58" s="10">
        <f t="shared" si="7"/>
        <v>18</v>
      </c>
      <c r="K58" s="17" t="str">
        <f t="shared" si="8"/>
        <v>0:C1</v>
      </c>
      <c r="L58" s="17" t="str">
        <f t="shared" si="9"/>
        <v>CTn018</v>
      </c>
      <c r="M58" s="17" t="str">
        <f t="shared" ca="1" si="5"/>
        <v>CT6018</v>
      </c>
      <c r="N58" s="227"/>
      <c r="O58" s="227"/>
      <c r="P58" s="322" t="s">
        <v>74</v>
      </c>
    </row>
    <row r="59" spans="2:16" x14ac:dyDescent="0.2">
      <c r="B59" s="152" t="s">
        <v>50</v>
      </c>
      <c r="C59" s="230" t="s">
        <v>135</v>
      </c>
      <c r="D59" s="230" t="s">
        <v>135</v>
      </c>
      <c r="E59" s="315" t="str">
        <f t="shared" si="4"/>
        <v>-</v>
      </c>
      <c r="F59" s="230" t="s">
        <v>74</v>
      </c>
      <c r="G59" s="230"/>
      <c r="H59" s="230" t="s">
        <v>26</v>
      </c>
      <c r="I59" s="10">
        <v>0</v>
      </c>
      <c r="J59" s="10">
        <f t="shared" si="7"/>
        <v>19</v>
      </c>
      <c r="K59" s="17" t="str">
        <f t="shared" si="8"/>
        <v>0:C2</v>
      </c>
      <c r="L59" s="17" t="str">
        <f t="shared" si="9"/>
        <v>CTn019</v>
      </c>
      <c r="M59" s="17" t="str">
        <f t="shared" ca="1" si="5"/>
        <v>CT6019</v>
      </c>
      <c r="N59" s="227"/>
      <c r="O59" s="227"/>
      <c r="P59" s="322" t="s">
        <v>74</v>
      </c>
    </row>
    <row r="60" spans="2:16" x14ac:dyDescent="0.2">
      <c r="B60" s="152" t="s">
        <v>50</v>
      </c>
      <c r="C60" s="230" t="s">
        <v>135</v>
      </c>
      <c r="D60" s="230" t="s">
        <v>135</v>
      </c>
      <c r="E60" s="315" t="str">
        <f t="shared" si="4"/>
        <v>-</v>
      </c>
      <c r="F60" s="230" t="s">
        <v>74</v>
      </c>
      <c r="G60" s="230"/>
      <c r="H60" s="230" t="s">
        <v>26</v>
      </c>
      <c r="I60" s="10">
        <v>0</v>
      </c>
      <c r="J60" s="10">
        <f t="shared" si="7"/>
        <v>20</v>
      </c>
      <c r="K60" s="17" t="str">
        <f t="shared" si="8"/>
        <v>0:C3</v>
      </c>
      <c r="L60" s="17" t="str">
        <f t="shared" si="9"/>
        <v>CTn020</v>
      </c>
      <c r="M60" s="17" t="str">
        <f t="shared" ca="1" si="5"/>
        <v>CT6020</v>
      </c>
      <c r="N60" s="227"/>
      <c r="O60" s="227"/>
      <c r="P60" s="322" t="s">
        <v>74</v>
      </c>
    </row>
    <row r="61" spans="2:16" x14ac:dyDescent="0.2">
      <c r="B61" s="152" t="s">
        <v>50</v>
      </c>
      <c r="C61" s="230" t="s">
        <v>135</v>
      </c>
      <c r="D61" s="230" t="s">
        <v>135</v>
      </c>
      <c r="E61" s="315" t="str">
        <f t="shared" si="4"/>
        <v>-</v>
      </c>
      <c r="F61" s="230" t="s">
        <v>74</v>
      </c>
      <c r="G61" s="230"/>
      <c r="H61" s="230" t="s">
        <v>26</v>
      </c>
      <c r="I61" s="10">
        <v>0</v>
      </c>
      <c r="J61" s="10">
        <f t="shared" si="7"/>
        <v>21</v>
      </c>
      <c r="K61" s="17" t="str">
        <f t="shared" si="8"/>
        <v>0:C4</v>
      </c>
      <c r="L61" s="17" t="str">
        <f t="shared" si="9"/>
        <v>CTn021</v>
      </c>
      <c r="M61" s="17" t="str">
        <f t="shared" ca="1" si="5"/>
        <v>CT6021</v>
      </c>
      <c r="N61" s="227"/>
      <c r="O61" s="227"/>
      <c r="P61" s="322" t="s">
        <v>74</v>
      </c>
    </row>
    <row r="62" spans="2:16" x14ac:dyDescent="0.2">
      <c r="B62" s="152" t="s">
        <v>50</v>
      </c>
      <c r="C62" s="230" t="s">
        <v>135</v>
      </c>
      <c r="D62" s="230" t="s">
        <v>135</v>
      </c>
      <c r="E62" s="315" t="str">
        <f t="shared" si="4"/>
        <v>-</v>
      </c>
      <c r="F62" s="230" t="s">
        <v>74</v>
      </c>
      <c r="G62" s="230"/>
      <c r="H62" s="230" t="s">
        <v>26</v>
      </c>
      <c r="I62" s="10">
        <v>0</v>
      </c>
      <c r="J62" s="10">
        <f t="shared" si="7"/>
        <v>22</v>
      </c>
      <c r="K62" s="17" t="str">
        <f t="shared" si="8"/>
        <v>0:C5</v>
      </c>
      <c r="L62" s="17" t="str">
        <f t="shared" si="9"/>
        <v>CTn022</v>
      </c>
      <c r="M62" s="17" t="str">
        <f t="shared" ca="1" si="5"/>
        <v>CT6022</v>
      </c>
      <c r="N62" s="227"/>
      <c r="O62" s="227"/>
      <c r="P62" s="322" t="s">
        <v>74</v>
      </c>
    </row>
    <row r="63" spans="2:16" x14ac:dyDescent="0.2">
      <c r="B63" s="152" t="s">
        <v>50</v>
      </c>
      <c r="C63" s="230" t="s">
        <v>135</v>
      </c>
      <c r="D63" s="230" t="s">
        <v>135</v>
      </c>
      <c r="E63" s="315" t="str">
        <f t="shared" si="4"/>
        <v>-</v>
      </c>
      <c r="F63" s="230" t="s">
        <v>74</v>
      </c>
      <c r="G63" s="230"/>
      <c r="H63" s="230" t="s">
        <v>26</v>
      </c>
      <c r="I63" s="10">
        <v>0</v>
      </c>
      <c r="J63" s="10">
        <f t="shared" si="7"/>
        <v>23</v>
      </c>
      <c r="K63" s="17" t="str">
        <f t="shared" si="8"/>
        <v>0:C6</v>
      </c>
      <c r="L63" s="17" t="str">
        <f t="shared" si="9"/>
        <v>CTn023</v>
      </c>
      <c r="M63" s="17" t="str">
        <f t="shared" ca="1" si="5"/>
        <v>CT6023</v>
      </c>
      <c r="N63" s="227"/>
      <c r="O63" s="227"/>
      <c r="P63" s="322" t="s">
        <v>74</v>
      </c>
    </row>
    <row r="64" spans="2:16" x14ac:dyDescent="0.2">
      <c r="B64" s="152" t="s">
        <v>50</v>
      </c>
      <c r="C64" s="230" t="s">
        <v>135</v>
      </c>
      <c r="D64" s="230" t="s">
        <v>135</v>
      </c>
      <c r="E64" s="315" t="str">
        <f t="shared" si="4"/>
        <v>-</v>
      </c>
      <c r="F64" s="230" t="s">
        <v>74</v>
      </c>
      <c r="G64" s="230"/>
      <c r="H64" s="230" t="s">
        <v>26</v>
      </c>
      <c r="I64" s="10">
        <v>0</v>
      </c>
      <c r="J64" s="10">
        <f t="shared" si="7"/>
        <v>24</v>
      </c>
      <c r="K64" s="17" t="str">
        <f t="shared" si="8"/>
        <v>0:C7</v>
      </c>
      <c r="L64" s="17" t="str">
        <f t="shared" si="9"/>
        <v>CTn024</v>
      </c>
      <c r="M64" s="17" t="str">
        <f t="shared" ca="1" si="5"/>
        <v>CT6024</v>
      </c>
      <c r="N64" s="227"/>
      <c r="O64" s="227"/>
      <c r="P64" s="322" t="s">
        <v>74</v>
      </c>
    </row>
    <row r="65" spans="2:16" x14ac:dyDescent="0.2">
      <c r="B65" s="152" t="s">
        <v>50</v>
      </c>
      <c r="C65" s="230" t="s">
        <v>707</v>
      </c>
      <c r="D65" s="230" t="s">
        <v>713</v>
      </c>
      <c r="E65" s="315" t="str">
        <f t="shared" si="4"/>
        <v>CTC_XOVR_LEFT:IME:DBL:HEAD0:RED</v>
      </c>
      <c r="F65" s="230" t="s">
        <v>74</v>
      </c>
      <c r="G65" s="230" t="s">
        <v>783</v>
      </c>
      <c r="H65" s="230" t="s">
        <v>26</v>
      </c>
      <c r="I65" s="10">
        <v>0</v>
      </c>
      <c r="J65" s="10">
        <f t="shared" si="7"/>
        <v>25</v>
      </c>
      <c r="K65" s="17" t="str">
        <f t="shared" si="8"/>
        <v>1:A0</v>
      </c>
      <c r="L65" s="17" t="str">
        <f t="shared" si="9"/>
        <v>CTn025</v>
      </c>
      <c r="M65" s="17" t="str">
        <f t="shared" ca="1" si="5"/>
        <v>CT6025</v>
      </c>
      <c r="N65" s="227" t="s">
        <v>586</v>
      </c>
      <c r="O65" s="227" t="s">
        <v>689</v>
      </c>
      <c r="P65" s="322" t="s">
        <v>765</v>
      </c>
    </row>
    <row r="66" spans="2:16" x14ac:dyDescent="0.2">
      <c r="B66" s="152" t="s">
        <v>50</v>
      </c>
      <c r="C66" s="230" t="s">
        <v>707</v>
      </c>
      <c r="D66" s="230" t="s">
        <v>713</v>
      </c>
      <c r="E66" s="315" t="str">
        <f t="shared" si="4"/>
        <v>CTC_XOVR_LEFT:IME:DBL:HEAD0:YEL</v>
      </c>
      <c r="F66" s="230" t="s">
        <v>74</v>
      </c>
      <c r="G66" s="230" t="s">
        <v>783</v>
      </c>
      <c r="H66" s="230" t="s">
        <v>26</v>
      </c>
      <c r="I66" s="10">
        <v>0</v>
      </c>
      <c r="J66" s="10">
        <f t="shared" si="7"/>
        <v>26</v>
      </c>
      <c r="K66" s="17" t="str">
        <f t="shared" si="8"/>
        <v>1:A1</v>
      </c>
      <c r="L66" s="17" t="str">
        <f t="shared" si="9"/>
        <v>CTn026</v>
      </c>
      <c r="M66" s="17" t="str">
        <f t="shared" ca="1" si="5"/>
        <v>CT6026</v>
      </c>
      <c r="N66" s="227" t="s">
        <v>587</v>
      </c>
      <c r="O66" s="227" t="s">
        <v>692</v>
      </c>
      <c r="P66" s="322" t="s">
        <v>766</v>
      </c>
    </row>
    <row r="67" spans="2:16" x14ac:dyDescent="0.2">
      <c r="B67" s="152" t="s">
        <v>50</v>
      </c>
      <c r="C67" s="230" t="s">
        <v>707</v>
      </c>
      <c r="D67" s="230" t="s">
        <v>713</v>
      </c>
      <c r="E67" s="315" t="str">
        <f t="shared" si="4"/>
        <v>CTC_XOVR_LEFT:IME:DBL:HEAD0:GRN</v>
      </c>
      <c r="F67" s="230" t="s">
        <v>74</v>
      </c>
      <c r="G67" s="230" t="s">
        <v>783</v>
      </c>
      <c r="H67" s="230" t="s">
        <v>26</v>
      </c>
      <c r="I67" s="10">
        <v>0</v>
      </c>
      <c r="J67" s="10">
        <f t="shared" si="7"/>
        <v>27</v>
      </c>
      <c r="K67" s="17" t="str">
        <f t="shared" si="8"/>
        <v>1:A2</v>
      </c>
      <c r="L67" s="17" t="str">
        <f t="shared" si="9"/>
        <v>CTn027</v>
      </c>
      <c r="M67" s="17" t="str">
        <f t="shared" ca="1" si="5"/>
        <v>CT6027</v>
      </c>
      <c r="N67" s="227" t="s">
        <v>588</v>
      </c>
      <c r="O67" s="227" t="s">
        <v>693</v>
      </c>
      <c r="P67" s="322" t="s">
        <v>764</v>
      </c>
    </row>
    <row r="68" spans="2:16" x14ac:dyDescent="0.2">
      <c r="B68" s="152" t="s">
        <v>50</v>
      </c>
      <c r="C68" s="230" t="s">
        <v>707</v>
      </c>
      <c r="D68" s="230" t="s">
        <v>713</v>
      </c>
      <c r="E68" s="315" t="str">
        <f t="shared" si="4"/>
        <v>CTC_XOVR_LEFT:IME:DBL:HEAD1:RED</v>
      </c>
      <c r="F68" s="230" t="s">
        <v>74</v>
      </c>
      <c r="G68" s="230" t="s">
        <v>783</v>
      </c>
      <c r="H68" s="230" t="s">
        <v>26</v>
      </c>
      <c r="I68" s="10">
        <v>0</v>
      </c>
      <c r="J68" s="10">
        <f t="shared" si="7"/>
        <v>28</v>
      </c>
      <c r="K68" s="17" t="str">
        <f t="shared" si="8"/>
        <v>1:A3</v>
      </c>
      <c r="L68" s="17" t="str">
        <f t="shared" si="9"/>
        <v>CTn028</v>
      </c>
      <c r="M68" s="17" t="str">
        <f t="shared" ca="1" si="5"/>
        <v>CT6028</v>
      </c>
      <c r="N68" s="227" t="s">
        <v>589</v>
      </c>
      <c r="O68" s="227" t="s">
        <v>694</v>
      </c>
      <c r="P68" s="322" t="s">
        <v>762</v>
      </c>
    </row>
    <row r="69" spans="2:16" x14ac:dyDescent="0.2">
      <c r="B69" s="152" t="s">
        <v>50</v>
      </c>
      <c r="C69" s="230" t="s">
        <v>707</v>
      </c>
      <c r="D69" s="230" t="s">
        <v>713</v>
      </c>
      <c r="E69" s="315" t="str">
        <f t="shared" si="4"/>
        <v>CTC_XOVR_LEFT:IME:DBL:HEAD1:YEL</v>
      </c>
      <c r="F69" s="230" t="s">
        <v>74</v>
      </c>
      <c r="G69" s="230" t="s">
        <v>783</v>
      </c>
      <c r="H69" s="230" t="s">
        <v>26</v>
      </c>
      <c r="I69" s="10">
        <v>0</v>
      </c>
      <c r="J69" s="10">
        <f t="shared" si="7"/>
        <v>29</v>
      </c>
      <c r="K69" s="17" t="str">
        <f t="shared" si="8"/>
        <v>1:A4</v>
      </c>
      <c r="L69" s="17" t="str">
        <f t="shared" si="9"/>
        <v>CTn029</v>
      </c>
      <c r="M69" s="17" t="str">
        <f t="shared" ca="1" si="5"/>
        <v>CT6029</v>
      </c>
      <c r="N69" s="227" t="s">
        <v>590</v>
      </c>
      <c r="O69" s="227" t="s">
        <v>695</v>
      </c>
      <c r="P69" s="322" t="s">
        <v>763</v>
      </c>
    </row>
    <row r="70" spans="2:16" x14ac:dyDescent="0.2">
      <c r="B70" s="152" t="s">
        <v>50</v>
      </c>
      <c r="C70" s="230" t="s">
        <v>707</v>
      </c>
      <c r="D70" s="230" t="s">
        <v>713</v>
      </c>
      <c r="E70" s="315" t="str">
        <f t="shared" si="4"/>
        <v>CTC_XOVR_LEFT:IME:DBL:HEAD1:GRN</v>
      </c>
      <c r="F70" s="230" t="s">
        <v>74</v>
      </c>
      <c r="G70" s="230" t="s">
        <v>783</v>
      </c>
      <c r="H70" s="230" t="s">
        <v>26</v>
      </c>
      <c r="I70" s="10">
        <v>0</v>
      </c>
      <c r="J70" s="10">
        <f t="shared" si="7"/>
        <v>30</v>
      </c>
      <c r="K70" s="17" t="str">
        <f t="shared" si="8"/>
        <v>1:A5</v>
      </c>
      <c r="L70" s="17" t="str">
        <f t="shared" si="9"/>
        <v>CTn030</v>
      </c>
      <c r="M70" s="17" t="str">
        <f t="shared" ca="1" si="5"/>
        <v>CT6030</v>
      </c>
      <c r="N70" s="227" t="s">
        <v>591</v>
      </c>
      <c r="O70" s="227" t="s">
        <v>691</v>
      </c>
      <c r="P70" s="322" t="s">
        <v>761</v>
      </c>
    </row>
    <row r="71" spans="2:16" x14ac:dyDescent="0.2">
      <c r="B71" s="152" t="s">
        <v>50</v>
      </c>
      <c r="C71" s="230" t="s">
        <v>135</v>
      </c>
      <c r="D71" s="230" t="s">
        <v>135</v>
      </c>
      <c r="E71" s="315" t="str">
        <f t="shared" si="4"/>
        <v>-</v>
      </c>
      <c r="F71" s="230" t="s">
        <v>74</v>
      </c>
      <c r="G71" s="230"/>
      <c r="H71" s="230" t="s">
        <v>26</v>
      </c>
      <c r="I71" s="10">
        <v>0</v>
      </c>
      <c r="J71" s="10">
        <f t="shared" si="7"/>
        <v>31</v>
      </c>
      <c r="K71" s="17" t="str">
        <f t="shared" si="8"/>
        <v>1:A6</v>
      </c>
      <c r="L71" s="17" t="str">
        <f t="shared" si="9"/>
        <v>CTn031</v>
      </c>
      <c r="M71" s="17" t="str">
        <f t="shared" ca="1" si="5"/>
        <v>CT6031</v>
      </c>
      <c r="N71" s="227"/>
      <c r="O71" s="227"/>
      <c r="P71" s="322" t="s">
        <v>74</v>
      </c>
    </row>
    <row r="72" spans="2:16" x14ac:dyDescent="0.2">
      <c r="B72" s="152" t="s">
        <v>50</v>
      </c>
      <c r="C72" s="230" t="s">
        <v>135</v>
      </c>
      <c r="D72" s="230" t="s">
        <v>135</v>
      </c>
      <c r="E72" s="315" t="str">
        <f t="shared" si="4"/>
        <v>-</v>
      </c>
      <c r="F72" s="230" t="s">
        <v>74</v>
      </c>
      <c r="G72" s="230"/>
      <c r="H72" s="230" t="s">
        <v>26</v>
      </c>
      <c r="I72" s="10">
        <v>0</v>
      </c>
      <c r="J72" s="10">
        <f t="shared" si="7"/>
        <v>32</v>
      </c>
      <c r="K72" s="17" t="str">
        <f t="shared" si="8"/>
        <v>1:A7</v>
      </c>
      <c r="L72" s="17" t="str">
        <f t="shared" si="9"/>
        <v>CTn032</v>
      </c>
      <c r="M72" s="17" t="str">
        <f t="shared" ca="1" si="5"/>
        <v>CT6032</v>
      </c>
      <c r="N72" s="227"/>
      <c r="O72" s="227"/>
      <c r="P72" s="322" t="s">
        <v>74</v>
      </c>
    </row>
    <row r="73" spans="2:16" x14ac:dyDescent="0.2">
      <c r="B73" s="152" t="s">
        <v>50</v>
      </c>
      <c r="C73" s="230" t="s">
        <v>707</v>
      </c>
      <c r="D73" s="230" t="s">
        <v>713</v>
      </c>
      <c r="E73" s="315" t="str">
        <f t="shared" si="4"/>
        <v>CTC_XOVR_LEFT:IMW:DBL:HEAD0:RED</v>
      </c>
      <c r="F73" s="230" t="s">
        <v>74</v>
      </c>
      <c r="G73" s="230" t="s">
        <v>783</v>
      </c>
      <c r="H73" s="230" t="s">
        <v>26</v>
      </c>
      <c r="I73" s="10">
        <v>0</v>
      </c>
      <c r="J73" s="10">
        <f t="shared" si="7"/>
        <v>33</v>
      </c>
      <c r="K73" s="17" t="str">
        <f t="shared" si="8"/>
        <v>1:B0</v>
      </c>
      <c r="L73" s="17" t="str">
        <f t="shared" si="9"/>
        <v>CTn033</v>
      </c>
      <c r="M73" s="17" t="str">
        <f t="shared" ca="1" si="5"/>
        <v>CT6033</v>
      </c>
      <c r="N73" s="227" t="s">
        <v>581</v>
      </c>
      <c r="O73" s="227" t="s">
        <v>690</v>
      </c>
      <c r="P73" s="322" t="s">
        <v>750</v>
      </c>
    </row>
    <row r="74" spans="2:16" x14ac:dyDescent="0.2">
      <c r="B74" s="152" t="s">
        <v>50</v>
      </c>
      <c r="C74" s="230" t="s">
        <v>707</v>
      </c>
      <c r="D74" s="230" t="s">
        <v>713</v>
      </c>
      <c r="E74" s="315" t="str">
        <f t="shared" si="4"/>
        <v>CTC_XOVR_LEFT:IMW:DBL:HEAD0:YEL</v>
      </c>
      <c r="F74" s="230" t="s">
        <v>74</v>
      </c>
      <c r="G74" s="230" t="s">
        <v>783</v>
      </c>
      <c r="H74" s="230" t="s">
        <v>26</v>
      </c>
      <c r="I74" s="10">
        <v>0</v>
      </c>
      <c r="J74" s="10">
        <f t="shared" si="7"/>
        <v>34</v>
      </c>
      <c r="K74" s="17" t="str">
        <f t="shared" si="8"/>
        <v>1:B1</v>
      </c>
      <c r="L74" s="17" t="str">
        <f t="shared" si="9"/>
        <v>CTn034</v>
      </c>
      <c r="M74" s="17" t="str">
        <f t="shared" ca="1" si="5"/>
        <v>CT6034</v>
      </c>
      <c r="N74" s="227" t="s">
        <v>582</v>
      </c>
      <c r="O74" s="227" t="s">
        <v>696</v>
      </c>
      <c r="P74" s="322" t="s">
        <v>751</v>
      </c>
    </row>
    <row r="75" spans="2:16" x14ac:dyDescent="0.2">
      <c r="B75" s="152" t="s">
        <v>50</v>
      </c>
      <c r="C75" s="230" t="s">
        <v>707</v>
      </c>
      <c r="D75" s="230" t="s">
        <v>713</v>
      </c>
      <c r="E75" s="315" t="str">
        <f t="shared" si="4"/>
        <v>CTC_XOVR_LEFT:IMW:DBL:HEAD0:GRN</v>
      </c>
      <c r="F75" s="230" t="s">
        <v>74</v>
      </c>
      <c r="G75" s="230" t="s">
        <v>783</v>
      </c>
      <c r="H75" s="230" t="s">
        <v>26</v>
      </c>
      <c r="I75" s="10">
        <v>0</v>
      </c>
      <c r="J75" s="10">
        <f t="shared" si="7"/>
        <v>35</v>
      </c>
      <c r="K75" s="17" t="str">
        <f t="shared" si="8"/>
        <v>1:B2</v>
      </c>
      <c r="L75" s="17" t="str">
        <f t="shared" si="9"/>
        <v>CTn035</v>
      </c>
      <c r="M75" s="17" t="str">
        <f t="shared" ca="1" si="5"/>
        <v>CT6035</v>
      </c>
      <c r="N75" s="227" t="s">
        <v>583</v>
      </c>
      <c r="O75" s="227" t="s">
        <v>688</v>
      </c>
      <c r="P75" s="322" t="s">
        <v>749</v>
      </c>
    </row>
    <row r="76" spans="2:16" x14ac:dyDescent="0.2">
      <c r="B76" s="152" t="s">
        <v>50</v>
      </c>
      <c r="C76" s="230" t="s">
        <v>707</v>
      </c>
      <c r="D76" s="230" t="s">
        <v>713</v>
      </c>
      <c r="E76" s="315" t="str">
        <f t="shared" si="4"/>
        <v>CTC_XOVR_LEFT:IMW:DBL:HEAD1:RED</v>
      </c>
      <c r="F76" s="230" t="s">
        <v>74</v>
      </c>
      <c r="G76" s="230" t="s">
        <v>783</v>
      </c>
      <c r="H76" s="230" t="s">
        <v>26</v>
      </c>
      <c r="I76" s="10">
        <v>0</v>
      </c>
      <c r="J76" s="10">
        <f t="shared" si="7"/>
        <v>36</v>
      </c>
      <c r="K76" s="17" t="str">
        <f t="shared" si="8"/>
        <v>1:B3</v>
      </c>
      <c r="L76" s="17" t="str">
        <f t="shared" si="9"/>
        <v>CTn036</v>
      </c>
      <c r="M76" s="17" t="str">
        <f t="shared" ca="1" si="5"/>
        <v>CT6036</v>
      </c>
      <c r="N76" s="227" t="s">
        <v>584</v>
      </c>
      <c r="O76" s="227" t="s">
        <v>697</v>
      </c>
      <c r="P76" s="322" t="s">
        <v>747</v>
      </c>
    </row>
    <row r="77" spans="2:16" x14ac:dyDescent="0.2">
      <c r="B77" s="152" t="s">
        <v>50</v>
      </c>
      <c r="C77" s="230" t="s">
        <v>707</v>
      </c>
      <c r="D77" s="230" t="s">
        <v>713</v>
      </c>
      <c r="E77" s="315" t="str">
        <f t="shared" si="4"/>
        <v>CTC_XOVR_LEFT:IMW:DBL:HEAD1:YEL</v>
      </c>
      <c r="F77" s="230" t="s">
        <v>74</v>
      </c>
      <c r="G77" s="230" t="s">
        <v>783</v>
      </c>
      <c r="H77" s="230" t="s">
        <v>26</v>
      </c>
      <c r="I77" s="10">
        <v>0</v>
      </c>
      <c r="J77" s="10">
        <f t="shared" si="7"/>
        <v>37</v>
      </c>
      <c r="K77" s="17" t="str">
        <f t="shared" si="8"/>
        <v>1:B4</v>
      </c>
      <c r="L77" s="17" t="str">
        <f t="shared" si="9"/>
        <v>CTn037</v>
      </c>
      <c r="M77" s="17" t="str">
        <f t="shared" ca="1" si="5"/>
        <v>CT6037</v>
      </c>
      <c r="N77" s="227" t="s">
        <v>585</v>
      </c>
      <c r="O77" s="227" t="s">
        <v>689</v>
      </c>
      <c r="P77" s="322" t="s">
        <v>748</v>
      </c>
    </row>
    <row r="78" spans="2:16" x14ac:dyDescent="0.2">
      <c r="B78" s="152" t="s">
        <v>50</v>
      </c>
      <c r="C78" s="230" t="s">
        <v>707</v>
      </c>
      <c r="D78" s="230" t="s">
        <v>713</v>
      </c>
      <c r="E78" s="315" t="str">
        <f t="shared" si="4"/>
        <v>CTC_XOVR_LEFT:IMW:DBL:HEAD1:GRN</v>
      </c>
      <c r="F78" s="230" t="s">
        <v>74</v>
      </c>
      <c r="G78" s="230" t="s">
        <v>783</v>
      </c>
      <c r="H78" s="230" t="s">
        <v>26</v>
      </c>
      <c r="I78" s="10">
        <v>0</v>
      </c>
      <c r="J78" s="10">
        <f t="shared" si="7"/>
        <v>38</v>
      </c>
      <c r="K78" s="17" t="str">
        <f t="shared" si="8"/>
        <v>1:B5</v>
      </c>
      <c r="L78" s="17" t="str">
        <f t="shared" si="9"/>
        <v>CTn038</v>
      </c>
      <c r="M78" s="17" t="str">
        <f t="shared" ca="1" si="5"/>
        <v>CT6038</v>
      </c>
      <c r="N78" s="227" t="s">
        <v>580</v>
      </c>
      <c r="O78" s="227" t="s">
        <v>692</v>
      </c>
      <c r="P78" s="322" t="s">
        <v>746</v>
      </c>
    </row>
    <row r="79" spans="2:16" x14ac:dyDescent="0.2">
      <c r="B79" s="152" t="s">
        <v>50</v>
      </c>
      <c r="C79" s="230" t="s">
        <v>135</v>
      </c>
      <c r="D79" s="230" t="s">
        <v>135</v>
      </c>
      <c r="E79" s="315" t="str">
        <f t="shared" si="4"/>
        <v>-</v>
      </c>
      <c r="F79" s="230" t="s">
        <v>74</v>
      </c>
      <c r="G79" s="230"/>
      <c r="H79" s="230" t="s">
        <v>26</v>
      </c>
      <c r="I79" s="10">
        <v>0</v>
      </c>
      <c r="J79" s="10">
        <f t="shared" si="7"/>
        <v>39</v>
      </c>
      <c r="K79" s="17" t="str">
        <f t="shared" si="8"/>
        <v>1:B6</v>
      </c>
      <c r="L79" s="17" t="str">
        <f t="shared" si="9"/>
        <v>CTn039</v>
      </c>
      <c r="M79" s="17" t="str">
        <f t="shared" ca="1" si="5"/>
        <v>CT6039</v>
      </c>
      <c r="N79" s="227"/>
      <c r="O79" s="227"/>
      <c r="P79" s="322" t="s">
        <v>74</v>
      </c>
    </row>
    <row r="80" spans="2:16" x14ac:dyDescent="0.2">
      <c r="B80" s="152" t="s">
        <v>50</v>
      </c>
      <c r="C80" s="230" t="s">
        <v>135</v>
      </c>
      <c r="D80" s="230" t="s">
        <v>135</v>
      </c>
      <c r="E80" s="315" t="str">
        <f t="shared" si="4"/>
        <v>-</v>
      </c>
      <c r="F80" s="230" t="s">
        <v>74</v>
      </c>
      <c r="G80" s="230"/>
      <c r="H80" s="230" t="s">
        <v>26</v>
      </c>
      <c r="I80" s="10">
        <v>0</v>
      </c>
      <c r="J80" s="10">
        <f t="shared" si="7"/>
        <v>40</v>
      </c>
      <c r="K80" s="17" t="str">
        <f t="shared" si="8"/>
        <v>1:B7</v>
      </c>
      <c r="L80" s="17" t="str">
        <f t="shared" si="9"/>
        <v>CTn040</v>
      </c>
      <c r="M80" s="17" t="str">
        <f t="shared" ca="1" si="5"/>
        <v>CT6040</v>
      </c>
      <c r="N80" s="227"/>
      <c r="O80" s="227"/>
      <c r="P80" s="322" t="s">
        <v>74</v>
      </c>
    </row>
    <row r="81" spans="2:16" x14ac:dyDescent="0.2">
      <c r="B81" s="152" t="s">
        <v>50</v>
      </c>
      <c r="C81" s="230" t="s">
        <v>135</v>
      </c>
      <c r="D81" s="230" t="s">
        <v>135</v>
      </c>
      <c r="E81" s="315" t="str">
        <f t="shared" si="4"/>
        <v>-</v>
      </c>
      <c r="F81" s="230" t="s">
        <v>74</v>
      </c>
      <c r="G81" s="230"/>
      <c r="H81" s="230" t="s">
        <v>26</v>
      </c>
      <c r="I81" s="10">
        <v>0</v>
      </c>
      <c r="J81" s="10">
        <f t="shared" ref="J81:J88" si="10">IF(AND(H81=H80,B81=B80), J80+1,1)</f>
        <v>41</v>
      </c>
      <c r="K81" s="17" t="str">
        <f t="shared" ref="K81:K88" si="11">VLOOKUP(H81,SMINIPinTable,3+J81+(IF(B81="IN",0,1)*VLOOKUP(H81,SMINIPinTable,2,TRUE)),TRUE)</f>
        <v>1:C0</v>
      </c>
      <c r="L81" s="17" t="str">
        <f t="shared" ref="L81:L88" si="12">VLOOKUP(H81,SMINIJMRITable,3+J81+(IF(B81="IN",0,1)*VLOOKUP(H81,SMINIJMRITable,2,TRUE)),TRUE)</f>
        <v>CTn041</v>
      </c>
      <c r="M81" s="17" t="str">
        <f t="shared" ca="1" si="5"/>
        <v>CT6041</v>
      </c>
      <c r="N81" s="227"/>
      <c r="O81" s="227"/>
      <c r="P81" s="322" t="s">
        <v>74</v>
      </c>
    </row>
    <row r="82" spans="2:16" x14ac:dyDescent="0.2">
      <c r="B82" s="152" t="s">
        <v>50</v>
      </c>
      <c r="C82" s="230" t="s">
        <v>135</v>
      </c>
      <c r="D82" s="230" t="s">
        <v>135</v>
      </c>
      <c r="E82" s="315" t="str">
        <f t="shared" ref="E82:E88" si="13">IF(P82="-",P82,_xlfn.CONCAT(C82,":",P82))</f>
        <v>-</v>
      </c>
      <c r="F82" s="230" t="s">
        <v>74</v>
      </c>
      <c r="G82" s="230"/>
      <c r="H82" s="230" t="s">
        <v>26</v>
      </c>
      <c r="I82" s="10">
        <v>0</v>
      </c>
      <c r="J82" s="10">
        <f t="shared" si="10"/>
        <v>42</v>
      </c>
      <c r="K82" s="17" t="str">
        <f t="shared" si="11"/>
        <v>1:C1</v>
      </c>
      <c r="L82" s="17" t="str">
        <f t="shared" si="12"/>
        <v>CTn042</v>
      </c>
      <c r="M82" s="17" t="str">
        <f t="shared" ref="M82:M88" ca="1" si="14">CONCATENATE(LEFT(L82,2),$D$5*1000+VALUE(RIGHT(L82,3)+I82))</f>
        <v>CT6042</v>
      </c>
      <c r="N82" s="227"/>
      <c r="O82" s="227"/>
      <c r="P82" s="322" t="s">
        <v>74</v>
      </c>
    </row>
    <row r="83" spans="2:16" x14ac:dyDescent="0.2">
      <c r="B83" s="152" t="s">
        <v>50</v>
      </c>
      <c r="C83" s="230" t="s">
        <v>135</v>
      </c>
      <c r="D83" s="230" t="s">
        <v>135</v>
      </c>
      <c r="E83" s="315" t="str">
        <f t="shared" si="13"/>
        <v>-</v>
      </c>
      <c r="F83" s="230" t="s">
        <v>74</v>
      </c>
      <c r="G83" s="230"/>
      <c r="H83" s="230" t="s">
        <v>26</v>
      </c>
      <c r="I83" s="10">
        <v>0</v>
      </c>
      <c r="J83" s="10">
        <f t="shared" si="10"/>
        <v>43</v>
      </c>
      <c r="K83" s="17" t="str">
        <f t="shared" si="11"/>
        <v>1:C2</v>
      </c>
      <c r="L83" s="17" t="str">
        <f t="shared" si="12"/>
        <v>CTn043</v>
      </c>
      <c r="M83" s="17" t="str">
        <f t="shared" ca="1" si="14"/>
        <v>CT6043</v>
      </c>
      <c r="N83" s="227"/>
      <c r="O83" s="227"/>
      <c r="P83" s="322" t="s">
        <v>74</v>
      </c>
    </row>
    <row r="84" spans="2:16" x14ac:dyDescent="0.2">
      <c r="B84" s="152" t="s">
        <v>50</v>
      </c>
      <c r="C84" s="230" t="s">
        <v>135</v>
      </c>
      <c r="D84" s="230" t="s">
        <v>135</v>
      </c>
      <c r="E84" s="315" t="str">
        <f t="shared" si="13"/>
        <v>-</v>
      </c>
      <c r="F84" s="230" t="s">
        <v>74</v>
      </c>
      <c r="G84" s="230"/>
      <c r="H84" s="230" t="s">
        <v>26</v>
      </c>
      <c r="I84" s="10">
        <v>0</v>
      </c>
      <c r="J84" s="10">
        <f t="shared" si="10"/>
        <v>44</v>
      </c>
      <c r="K84" s="17" t="str">
        <f t="shared" si="11"/>
        <v>1:C3</v>
      </c>
      <c r="L84" s="17" t="str">
        <f t="shared" si="12"/>
        <v>CTn044</v>
      </c>
      <c r="M84" s="17" t="str">
        <f t="shared" ca="1" si="14"/>
        <v>CT6044</v>
      </c>
      <c r="N84" s="227"/>
      <c r="O84" s="227"/>
      <c r="P84" s="322" t="s">
        <v>74</v>
      </c>
    </row>
    <row r="85" spans="2:16" x14ac:dyDescent="0.2">
      <c r="B85" s="152" t="s">
        <v>50</v>
      </c>
      <c r="C85" s="230" t="s">
        <v>135</v>
      </c>
      <c r="D85" s="230" t="s">
        <v>135</v>
      </c>
      <c r="E85" s="315" t="str">
        <f t="shared" si="13"/>
        <v>-</v>
      </c>
      <c r="F85" s="230" t="s">
        <v>74</v>
      </c>
      <c r="G85" s="230"/>
      <c r="H85" s="230" t="s">
        <v>26</v>
      </c>
      <c r="I85" s="10">
        <v>0</v>
      </c>
      <c r="J85" s="10">
        <f t="shared" si="10"/>
        <v>45</v>
      </c>
      <c r="K85" s="17" t="str">
        <f t="shared" si="11"/>
        <v>1:C4</v>
      </c>
      <c r="L85" s="17" t="str">
        <f t="shared" si="12"/>
        <v>CTn045</v>
      </c>
      <c r="M85" s="17" t="str">
        <f t="shared" ca="1" si="14"/>
        <v>CT6045</v>
      </c>
      <c r="N85" s="227"/>
      <c r="O85" s="227"/>
      <c r="P85" s="322" t="s">
        <v>74</v>
      </c>
    </row>
    <row r="86" spans="2:16" x14ac:dyDescent="0.2">
      <c r="B86" s="152" t="s">
        <v>50</v>
      </c>
      <c r="C86" s="230" t="s">
        <v>135</v>
      </c>
      <c r="D86" s="230" t="s">
        <v>135</v>
      </c>
      <c r="E86" s="315" t="str">
        <f t="shared" si="13"/>
        <v>-</v>
      </c>
      <c r="F86" s="230" t="s">
        <v>74</v>
      </c>
      <c r="G86" s="230"/>
      <c r="H86" s="230" t="s">
        <v>26</v>
      </c>
      <c r="I86" s="10">
        <v>0</v>
      </c>
      <c r="J86" s="10">
        <f t="shared" si="10"/>
        <v>46</v>
      </c>
      <c r="K86" s="17" t="str">
        <f t="shared" si="11"/>
        <v>1:C5</v>
      </c>
      <c r="L86" s="17" t="str">
        <f t="shared" si="12"/>
        <v>CTn046</v>
      </c>
      <c r="M86" s="17" t="str">
        <f t="shared" ca="1" si="14"/>
        <v>CT6046</v>
      </c>
      <c r="N86" s="227"/>
      <c r="O86" s="227"/>
      <c r="P86" s="322" t="s">
        <v>74</v>
      </c>
    </row>
    <row r="87" spans="2:16" x14ac:dyDescent="0.2">
      <c r="B87" s="152" t="s">
        <v>50</v>
      </c>
      <c r="C87" s="230" t="s">
        <v>135</v>
      </c>
      <c r="D87" s="230" t="s">
        <v>135</v>
      </c>
      <c r="E87" s="315" t="str">
        <f t="shared" si="13"/>
        <v>-</v>
      </c>
      <c r="F87" s="230" t="s">
        <v>74</v>
      </c>
      <c r="G87" s="230"/>
      <c r="H87" s="230" t="s">
        <v>26</v>
      </c>
      <c r="I87" s="10">
        <v>0</v>
      </c>
      <c r="J87" s="10">
        <f t="shared" si="10"/>
        <v>47</v>
      </c>
      <c r="K87" s="17" t="str">
        <f t="shared" si="11"/>
        <v>1:C6</v>
      </c>
      <c r="L87" s="17" t="str">
        <f t="shared" si="12"/>
        <v>CTn047</v>
      </c>
      <c r="M87" s="17" t="str">
        <f t="shared" ca="1" si="14"/>
        <v>CT6047</v>
      </c>
      <c r="N87" s="227"/>
      <c r="O87" s="227"/>
      <c r="P87" s="322" t="s">
        <v>74</v>
      </c>
    </row>
    <row r="88" spans="2:16" ht="16" thickBot="1" x14ac:dyDescent="0.25">
      <c r="B88" s="136" t="s">
        <v>50</v>
      </c>
      <c r="C88" s="137" t="s">
        <v>135</v>
      </c>
      <c r="D88" s="137" t="s">
        <v>135</v>
      </c>
      <c r="E88" s="317" t="str">
        <f t="shared" si="13"/>
        <v>-</v>
      </c>
      <c r="F88" s="137" t="s">
        <v>74</v>
      </c>
      <c r="G88" s="137"/>
      <c r="H88" s="137" t="s">
        <v>26</v>
      </c>
      <c r="I88" s="12">
        <v>0</v>
      </c>
      <c r="J88" s="12">
        <f t="shared" si="10"/>
        <v>48</v>
      </c>
      <c r="K88" s="18" t="str">
        <f t="shared" si="11"/>
        <v>1:C7</v>
      </c>
      <c r="L88" s="18" t="str">
        <f t="shared" si="12"/>
        <v>CTn048</v>
      </c>
      <c r="M88" s="18" t="str">
        <f t="shared" ca="1" si="14"/>
        <v>CT6048</v>
      </c>
      <c r="N88" s="228"/>
      <c r="O88" s="228"/>
      <c r="P88" s="323" t="s">
        <v>74</v>
      </c>
    </row>
    <row r="89" spans="2:16" x14ac:dyDescent="0.2">
      <c r="E89" s="319"/>
    </row>
    <row r="90" spans="2:16" x14ac:dyDescent="0.2">
      <c r="E90" s="319"/>
    </row>
    <row r="91" spans="2:16" x14ac:dyDescent="0.2">
      <c r="E91" s="319"/>
    </row>
    <row r="92" spans="2:16" x14ac:dyDescent="0.2">
      <c r="E92" s="319"/>
    </row>
    <row r="93" spans="2:16" x14ac:dyDescent="0.2">
      <c r="E93" s="319"/>
    </row>
    <row r="94" spans="2:16" x14ac:dyDescent="0.2">
      <c r="E94" s="319"/>
    </row>
    <row r="95" spans="2:16" x14ac:dyDescent="0.2">
      <c r="E95" s="319"/>
    </row>
    <row r="96" spans="2:16" x14ac:dyDescent="0.2">
      <c r="E96" s="319"/>
    </row>
    <row r="97" spans="5:5" x14ac:dyDescent="0.2">
      <c r="E97" s="319"/>
    </row>
    <row r="98" spans="5:5" x14ac:dyDescent="0.2">
      <c r="E98" s="319"/>
    </row>
    <row r="99" spans="5:5" x14ac:dyDescent="0.2">
      <c r="E99" s="319"/>
    </row>
    <row r="100" spans="5:5" x14ac:dyDescent="0.2">
      <c r="E100" s="319"/>
    </row>
    <row r="101" spans="5:5" x14ac:dyDescent="0.2">
      <c r="E101" s="319"/>
    </row>
    <row r="102" spans="5:5" x14ac:dyDescent="0.2">
      <c r="E102" s="319"/>
    </row>
    <row r="103" spans="5:5" x14ac:dyDescent="0.2">
      <c r="E103" s="319"/>
    </row>
    <row r="104" spans="5:5" x14ac:dyDescent="0.2">
      <c r="E104" s="319"/>
    </row>
    <row r="105" spans="5:5" x14ac:dyDescent="0.2">
      <c r="E105" s="319"/>
    </row>
    <row r="106" spans="5:5" x14ac:dyDescent="0.2">
      <c r="E106" s="319"/>
    </row>
    <row r="107" spans="5:5" x14ac:dyDescent="0.2">
      <c r="E107" s="319"/>
    </row>
    <row r="108" spans="5:5" x14ac:dyDescent="0.2">
      <c r="E108" s="319"/>
    </row>
    <row r="109" spans="5:5" x14ac:dyDescent="0.2">
      <c r="E109" s="319"/>
    </row>
    <row r="110" spans="5:5" x14ac:dyDescent="0.2">
      <c r="E110" s="319"/>
    </row>
    <row r="111" spans="5:5" x14ac:dyDescent="0.2">
      <c r="E111" s="319"/>
    </row>
    <row r="112" spans="5:5" x14ac:dyDescent="0.2">
      <c r="E112" s="319"/>
    </row>
    <row r="113" spans="5:5" x14ac:dyDescent="0.2">
      <c r="E113" s="319"/>
    </row>
    <row r="114" spans="5:5" x14ac:dyDescent="0.2">
      <c r="E114" s="319"/>
    </row>
    <row r="115" spans="5:5" x14ac:dyDescent="0.2">
      <c r="E115" s="319"/>
    </row>
    <row r="116" spans="5:5" x14ac:dyDescent="0.2">
      <c r="E116" s="319"/>
    </row>
    <row r="117" spans="5:5" x14ac:dyDescent="0.2">
      <c r="E117" s="319"/>
    </row>
    <row r="118" spans="5:5" x14ac:dyDescent="0.2">
      <c r="E118" s="319"/>
    </row>
    <row r="119" spans="5:5" x14ac:dyDescent="0.2">
      <c r="E119" s="319"/>
    </row>
    <row r="120" spans="5:5" x14ac:dyDescent="0.2">
      <c r="E120" s="319"/>
    </row>
    <row r="121" spans="5:5" x14ac:dyDescent="0.2">
      <c r="E121" s="319"/>
    </row>
    <row r="122" spans="5:5" x14ac:dyDescent="0.2">
      <c r="E122" s="319"/>
    </row>
    <row r="123" spans="5:5" x14ac:dyDescent="0.2">
      <c r="E123" s="319"/>
    </row>
    <row r="124" spans="5:5" x14ac:dyDescent="0.2">
      <c r="E124" s="319"/>
    </row>
    <row r="125" spans="5:5" x14ac:dyDescent="0.2">
      <c r="E125" s="319"/>
    </row>
    <row r="126" spans="5:5" x14ac:dyDescent="0.2">
      <c r="E126" s="319"/>
    </row>
    <row r="127" spans="5:5" x14ac:dyDescent="0.2">
      <c r="E127" s="319"/>
    </row>
    <row r="128" spans="5:5" x14ac:dyDescent="0.2">
      <c r="E128" s="319"/>
    </row>
    <row r="129" spans="5:5" x14ac:dyDescent="0.2">
      <c r="E129" s="319"/>
    </row>
    <row r="130" spans="5:5" x14ac:dyDescent="0.2">
      <c r="E130" s="319"/>
    </row>
    <row r="131" spans="5:5" x14ac:dyDescent="0.2">
      <c r="E131" s="319"/>
    </row>
    <row r="132" spans="5:5" x14ac:dyDescent="0.2">
      <c r="E132" s="319"/>
    </row>
    <row r="133" spans="5:5" x14ac:dyDescent="0.2">
      <c r="E133" s="319"/>
    </row>
    <row r="134" spans="5:5" x14ac:dyDescent="0.2">
      <c r="E134" s="319"/>
    </row>
    <row r="135" spans="5:5" x14ac:dyDescent="0.2">
      <c r="E135" s="319"/>
    </row>
    <row r="136" spans="5:5" x14ac:dyDescent="0.2">
      <c r="E136" s="319"/>
    </row>
    <row r="137" spans="5:5" x14ac:dyDescent="0.2">
      <c r="E137" s="319"/>
    </row>
    <row r="138" spans="5:5" x14ac:dyDescent="0.2">
      <c r="E138" s="319"/>
    </row>
    <row r="139" spans="5:5" x14ac:dyDescent="0.2">
      <c r="E139" s="319"/>
    </row>
    <row r="140" spans="5:5" x14ac:dyDescent="0.2">
      <c r="E140" s="319"/>
    </row>
    <row r="141" spans="5:5" x14ac:dyDescent="0.2">
      <c r="E141" s="319"/>
    </row>
    <row r="142" spans="5:5" x14ac:dyDescent="0.2">
      <c r="E142" s="319"/>
    </row>
    <row r="143" spans="5:5" x14ac:dyDescent="0.2">
      <c r="E143" s="319"/>
    </row>
    <row r="144" spans="5:5" x14ac:dyDescent="0.2">
      <c r="E144" s="319"/>
    </row>
    <row r="145" spans="5:5" x14ac:dyDescent="0.2">
      <c r="E145" s="319"/>
    </row>
    <row r="146" spans="5:5" x14ac:dyDescent="0.2">
      <c r="E146" s="319"/>
    </row>
    <row r="147" spans="5:5" x14ac:dyDescent="0.2">
      <c r="E147" s="319"/>
    </row>
    <row r="148" spans="5:5" x14ac:dyDescent="0.2">
      <c r="E148" s="319"/>
    </row>
    <row r="149" spans="5:5" x14ac:dyDescent="0.2">
      <c r="E149" s="319"/>
    </row>
    <row r="150" spans="5:5" x14ac:dyDescent="0.2">
      <c r="E150" s="319"/>
    </row>
    <row r="151" spans="5:5" x14ac:dyDescent="0.2">
      <c r="E151" s="319"/>
    </row>
    <row r="152" spans="5:5" x14ac:dyDescent="0.2">
      <c r="E152" s="319"/>
    </row>
    <row r="153" spans="5:5" x14ac:dyDescent="0.2">
      <c r="E153" s="319"/>
    </row>
    <row r="154" spans="5:5" x14ac:dyDescent="0.2">
      <c r="E154" s="319"/>
    </row>
    <row r="155" spans="5:5" x14ac:dyDescent="0.2">
      <c r="E155" s="319"/>
    </row>
    <row r="156" spans="5:5" x14ac:dyDescent="0.2">
      <c r="E156" s="319"/>
    </row>
    <row r="157" spans="5:5" x14ac:dyDescent="0.2">
      <c r="E157" s="319"/>
    </row>
    <row r="158" spans="5:5" x14ac:dyDescent="0.2">
      <c r="E158" s="319"/>
    </row>
    <row r="159" spans="5:5" x14ac:dyDescent="0.2">
      <c r="E159" s="319"/>
    </row>
    <row r="160" spans="5:5" x14ac:dyDescent="0.2">
      <c r="E160" s="319"/>
    </row>
  </sheetData>
  <mergeCells count="13">
    <mergeCell ref="B15:P15"/>
    <mergeCell ref="B2:P2"/>
    <mergeCell ref="E6:N14"/>
    <mergeCell ref="O3:P5"/>
    <mergeCell ref="B5:C5"/>
    <mergeCell ref="B3:D3"/>
    <mergeCell ref="B6:C14"/>
    <mergeCell ref="D6:D14"/>
    <mergeCell ref="B4:C4"/>
    <mergeCell ref="H3:I3"/>
    <mergeCell ref="J3:K3"/>
    <mergeCell ref="E3:F3"/>
    <mergeCell ref="E5:N5"/>
  </mergeCells>
  <phoneticPr fontId="8" type="noConversion"/>
  <dataValidations count="6">
    <dataValidation type="list" allowBlank="1" showInputMessage="1" showErrorMessage="1" sqref="D6:D9" xr:uid="{00000000-0002-0000-0200-000001000000}">
      <formula1>SMINIConfiguration</formula1>
    </dataValidation>
    <dataValidation type="list" allowBlank="1" showInputMessage="1" showErrorMessage="1" sqref="F17:F88" xr:uid="{00000000-0002-0000-0200-000002000000}">
      <formula1>DCC_Decoders</formula1>
    </dataValidation>
    <dataValidation type="list" allowBlank="1" showInputMessage="1" showErrorMessage="1" sqref="H17:H88" xr:uid="{00000000-0002-0000-0200-000003000000}">
      <formula1>Module6Nodes</formula1>
    </dataValidation>
    <dataValidation type="list" allowBlank="1" showInputMessage="1" showErrorMessage="1" sqref="D5" xr:uid="{24C9A083-784C-864A-AC6F-F0212E02D21D}">
      <formula1>cpNode_Addresses</formula1>
    </dataValidation>
    <dataValidation type="list" allowBlank="1" showInputMessage="1" showErrorMessage="1" sqref="C17:C88" xr:uid="{6BBA2317-18D7-314C-9911-339D33CF7B01}">
      <formula1>VALID_MODULES</formula1>
    </dataValidation>
    <dataValidation type="list" allowBlank="1" showInputMessage="1" showErrorMessage="1" sqref="G17:G88" xr:uid="{0975FB46-EE9E-524B-B39B-35EDBE2FDFE3}">
      <formula1>JMRI_STATE</formula1>
    </dataValidation>
  </dataValidations>
  <printOptions horizontalCentered="1" verticalCentered="1" gridLines="1"/>
  <pageMargins left="0.1" right="0.1" top="0.25" bottom="0.25" header="0.05" footer="0.05"/>
  <pageSetup scale="45" orientation="landscape"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F276CF5C-F591-F14F-8DEA-6E48ADBC3F10}">
          <x14:formula1>
            <xm:f>OFFSET('System Parameters'!$J$1, MATCH(B17,'System Parameters'!$J:$J,0)-1,1,COUNTIF('System Parameters'!$J:$J,B17),1)</xm:f>
          </x14:formula1>
          <xm:sqref>D17:D88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CA44-4897-0446-AF68-C857E5048049}">
  <sheetPr>
    <pageSetUpPr fitToPage="1"/>
  </sheetPr>
  <dimension ref="A1:N268"/>
  <sheetViews>
    <sheetView topLeftCell="A100" zoomScale="140" zoomScaleNormal="140" workbookViewId="0">
      <selection activeCell="A117" sqref="A117"/>
    </sheetView>
  </sheetViews>
  <sheetFormatPr baseColWidth="10" defaultColWidth="11.5" defaultRowHeight="15" x14ac:dyDescent="0.2"/>
  <cols>
    <col min="1" max="1" width="9.5" style="45" customWidth="1"/>
    <col min="2" max="2" width="5.83203125" style="45" customWidth="1"/>
    <col min="3" max="3" width="20.6640625" customWidth="1"/>
    <col min="4" max="4" width="17.83203125" style="21" customWidth="1"/>
    <col min="5" max="5" width="24.1640625" customWidth="1"/>
    <col min="6" max="7" width="9.83203125" style="21" customWidth="1"/>
    <col min="8" max="8" width="22.5" style="21" customWidth="1"/>
    <col min="9" max="9" width="10.33203125" style="21" customWidth="1"/>
    <col min="10" max="10" width="38.6640625" style="21" customWidth="1"/>
    <col min="11" max="11" width="11.1640625" style="21" customWidth="1"/>
    <col min="12" max="12" width="9.83203125" style="21" customWidth="1"/>
    <col min="13" max="13" width="59.83203125" customWidth="1"/>
    <col min="14" max="14" width="10.33203125" style="21" customWidth="1"/>
    <col min="15" max="15" width="60.1640625" customWidth="1"/>
    <col min="16" max="16" width="9.83203125" customWidth="1"/>
  </cols>
  <sheetData>
    <row r="1" spans="1:14" ht="25" thickBot="1" x14ac:dyDescent="0.25">
      <c r="A1" s="479" t="s">
        <v>250</v>
      </c>
      <c r="B1" s="480"/>
      <c r="C1" s="480"/>
      <c r="D1" s="480"/>
      <c r="E1" s="480"/>
      <c r="F1" s="480"/>
      <c r="G1" s="480"/>
      <c r="H1" s="480"/>
      <c r="I1" s="480"/>
      <c r="J1" s="480"/>
      <c r="K1" s="480"/>
      <c r="L1" s="480"/>
      <c r="M1" s="481"/>
    </row>
    <row r="2" spans="1:14" ht="49" customHeight="1" thickBot="1" x14ac:dyDescent="0.25">
      <c r="A2" s="485" t="s">
        <v>501</v>
      </c>
      <c r="B2" s="486"/>
      <c r="C2" s="486"/>
      <c r="D2" s="486"/>
      <c r="E2" s="486"/>
      <c r="F2" s="486"/>
      <c r="G2" s="486"/>
      <c r="H2" s="486"/>
      <c r="I2" s="486"/>
      <c r="J2" s="486"/>
      <c r="K2" s="486"/>
      <c r="L2" s="486"/>
      <c r="M2" s="487"/>
    </row>
    <row r="3" spans="1:14" ht="16" hidden="1" thickBot="1" x14ac:dyDescent="0.25">
      <c r="A3" s="482" t="s">
        <v>251</v>
      </c>
      <c r="B3" s="483"/>
      <c r="C3" s="240">
        <v>2</v>
      </c>
      <c r="D3" s="64">
        <v>3</v>
      </c>
      <c r="E3" s="240">
        <v>6</v>
      </c>
      <c r="F3" s="64">
        <v>1</v>
      </c>
      <c r="G3" s="64">
        <v>8</v>
      </c>
      <c r="H3" s="64">
        <v>4</v>
      </c>
      <c r="I3" s="484"/>
      <c r="J3" s="484"/>
      <c r="K3" s="64">
        <v>11</v>
      </c>
      <c r="L3" s="64">
        <v>5</v>
      </c>
      <c r="M3" s="65"/>
    </row>
    <row r="4" spans="1:14" ht="48" customHeight="1" x14ac:dyDescent="0.2">
      <c r="A4" s="62" t="s">
        <v>252</v>
      </c>
      <c r="B4" s="57" t="s">
        <v>253</v>
      </c>
      <c r="C4" s="58" t="s">
        <v>254</v>
      </c>
      <c r="D4" s="58" t="s">
        <v>36</v>
      </c>
      <c r="E4" s="58" t="s">
        <v>232</v>
      </c>
      <c r="F4" s="59" t="s">
        <v>31</v>
      </c>
      <c r="G4" s="58" t="s">
        <v>235</v>
      </c>
      <c r="H4" s="58" t="s">
        <v>255</v>
      </c>
      <c r="I4" s="58" t="s">
        <v>33</v>
      </c>
      <c r="J4" s="58" t="s">
        <v>230</v>
      </c>
      <c r="K4" s="58" t="s">
        <v>237</v>
      </c>
      <c r="L4" s="58" t="s">
        <v>231</v>
      </c>
      <c r="M4" s="60" t="s">
        <v>238</v>
      </c>
      <c r="N4"/>
    </row>
    <row r="5" spans="1:14" x14ac:dyDescent="0.2">
      <c r="A5" s="46" t="s">
        <v>11</v>
      </c>
      <c r="B5" s="55">
        <f t="shared" ref="B5:B36" si="0">IF(A4&lt;&gt;A5,1,B4+1)</f>
        <v>1</v>
      </c>
      <c r="C5" s="36" t="str">
        <f t="shared" ref="C5" ca="1" si="1">INDEX(INDIRECT(VLOOKUP(A5,NODE_TABLE, 3)),B5,C$3,1)</f>
        <v>CTC_SINGLE_TRACK</v>
      </c>
      <c r="D5" s="36" t="str">
        <f t="shared" ref="D5" ca="1" si="2">INDEX(INDIRECT(VLOOKUP(A5,NODE_TABLE, 3)),B5,D$3,1)</f>
        <v>Occupied Report</v>
      </c>
      <c r="E5" s="36" t="str">
        <f t="shared" ref="E5" ca="1" si="3">INDEX(INDIRECT(VLOOKUP(A5,NODE_TABLE, 3)),B5,E$3,1)</f>
        <v>Throw</v>
      </c>
      <c r="F5" s="36" t="str">
        <f t="shared" ref="F5" ca="1" si="4">INDEX(INDIRECT(VLOOKUP(A5,NODE_TABLE,3)),B5,F$3,1)</f>
        <v>IN</v>
      </c>
      <c r="G5" s="36">
        <f t="shared" ref="G5" ca="1" si="5">INDEX(INDIRECT(VLOOKUP(A5,NODE_TABLE,3)),B5,G$3,1)</f>
        <v>0</v>
      </c>
      <c r="H5" s="36" t="str">
        <f t="shared" ref="H5" ca="1" si="6">INDEX(INDIRECT(VLOOKUP(A5,NODE_TABLE,3)),B5,H$3,1)</f>
        <v>CTC_SINGLE_TRACK:OME:TS1</v>
      </c>
      <c r="I5" s="49" t="e">
        <f ca="1">VLOOKUP(Mapping[[#This Row],[Object Name]],PCB_PIN_TABLE,2, FALSE)</f>
        <v>#N/A</v>
      </c>
      <c r="J5" s="36" t="str">
        <f ca="1">_xlfn.CONCAT(Mapping[[#This Row],[Module]], " ", Mapping[[#This Row],[Object Name]])</f>
        <v>CTC_SINGLE_TRACK CTC_SINGLE_TRACK:OME:TS1</v>
      </c>
      <c r="K5" s="36" t="str">
        <f t="shared" ref="K5:K68" ca="1" si="7">INDEX(INDIRECT(VLOOKUP(A5,NODE_TABLE,3)),B5,K$3,1)</f>
        <v>CSn001</v>
      </c>
      <c r="L5" s="36" t="str">
        <f t="shared" ref="L5:L68" ca="1" si="8">INDEX(INDIRECT(VLOOKUP(A5,NODE_TABLE,3)),B5,L$3,1)</f>
        <v>-</v>
      </c>
      <c r="M5" s="47"/>
      <c r="N5"/>
    </row>
    <row r="6" spans="1:14" x14ac:dyDescent="0.2">
      <c r="A6" s="46" t="s">
        <v>11</v>
      </c>
      <c r="B6" s="55">
        <f t="shared" si="0"/>
        <v>2</v>
      </c>
      <c r="C6" s="36" t="str">
        <f t="shared" ref="C6:C69" ca="1" si="9">INDEX(INDIRECT(VLOOKUP(A6,NODE_TABLE, 3)),B6,C$3,1)</f>
        <v>CTC_SINGLE_TRACK</v>
      </c>
      <c r="D6" s="36" t="str">
        <f t="shared" ref="D6:D69" ca="1" si="10">INDEX(INDIRECT(VLOOKUP(A6,NODE_TABLE, 3)),B6,D$3,1)</f>
        <v>Occupied Report</v>
      </c>
      <c r="E6" s="36" t="str">
        <f t="shared" ref="E6:E69" ca="1" si="11">INDEX(INDIRECT(VLOOKUP(A6,NODE_TABLE, 3)),B6,E$3,1)</f>
        <v>Throw</v>
      </c>
      <c r="F6" s="36" t="str">
        <f t="shared" ref="F6:F69" ca="1" si="12">INDEX(INDIRECT(VLOOKUP(A6,NODE_TABLE,3)),B6,F$3,1)</f>
        <v>IN</v>
      </c>
      <c r="G6" s="36">
        <f t="shared" ref="G6:G69" ca="1" si="13">INDEX(INDIRECT(VLOOKUP(A6,NODE_TABLE,3)),B6,G$3,1)</f>
        <v>0</v>
      </c>
      <c r="H6" s="36" t="str">
        <f t="shared" ref="H6:H69" ca="1" si="14">INDEX(INDIRECT(VLOOKUP(A6,NODE_TABLE,3)),B6,H$3,1)</f>
        <v>CTC_SINGLE_TRACK:OME:TS2</v>
      </c>
      <c r="I6" s="49" t="e">
        <f ca="1">VLOOKUP(Mapping[[#This Row],[Object Name]],PCB_PIN_TABLE,2, FALSE)</f>
        <v>#N/A</v>
      </c>
      <c r="J6" s="36" t="str">
        <f ca="1">_xlfn.CONCAT(Mapping[[#This Row],[Module]], " ", Mapping[[#This Row],[Object Name]])</f>
        <v>CTC_SINGLE_TRACK CTC_SINGLE_TRACK:OME:TS2</v>
      </c>
      <c r="K6" s="36" t="str">
        <f t="shared" ca="1" si="7"/>
        <v>CSn002</v>
      </c>
      <c r="L6" s="36" t="str">
        <f t="shared" ca="1" si="8"/>
        <v>-</v>
      </c>
      <c r="M6" s="47"/>
      <c r="N6"/>
    </row>
    <row r="7" spans="1:14" x14ac:dyDescent="0.2">
      <c r="A7" s="46" t="s">
        <v>11</v>
      </c>
      <c r="B7" s="55">
        <f t="shared" si="0"/>
        <v>3</v>
      </c>
      <c r="C7" s="36" t="str">
        <f t="shared" ca="1" si="9"/>
        <v>Unassigned</v>
      </c>
      <c r="D7" s="36" t="str">
        <f t="shared" ca="1" si="10"/>
        <v>Unassigned</v>
      </c>
      <c r="E7" s="36">
        <f t="shared" ca="1" si="11"/>
        <v>0</v>
      </c>
      <c r="F7" s="36" t="str">
        <f t="shared" ca="1" si="12"/>
        <v>IN</v>
      </c>
      <c r="G7" s="36">
        <f t="shared" ca="1" si="13"/>
        <v>0</v>
      </c>
      <c r="H7" s="36" t="str">
        <f t="shared" ca="1" si="14"/>
        <v>Unassigned:</v>
      </c>
      <c r="I7" s="49" t="e">
        <f ca="1">VLOOKUP(Mapping[[#This Row],[Object Name]],PCB_PIN_TABLE,2, FALSE)</f>
        <v>#N/A</v>
      </c>
      <c r="J7" s="36" t="str">
        <f ca="1">_xlfn.CONCAT(Mapping[[#This Row],[Module]], " ", Mapping[[#This Row],[Object Name]])</f>
        <v>Unassigned Unassigned:</v>
      </c>
      <c r="K7" s="36" t="str">
        <f t="shared" ca="1" si="7"/>
        <v>CSn003</v>
      </c>
      <c r="L7" s="36" t="str">
        <f t="shared" ca="1" si="8"/>
        <v>-</v>
      </c>
      <c r="M7" s="47"/>
      <c r="N7"/>
    </row>
    <row r="8" spans="1:14" x14ac:dyDescent="0.2">
      <c r="A8" s="46" t="s">
        <v>11</v>
      </c>
      <c r="B8" s="55">
        <f t="shared" si="0"/>
        <v>4</v>
      </c>
      <c r="C8" s="36" t="str">
        <f t="shared" ca="1" si="9"/>
        <v>Unassigned</v>
      </c>
      <c r="D8" s="36" t="str">
        <f t="shared" ca="1" si="10"/>
        <v>Unassigned</v>
      </c>
      <c r="E8" s="36">
        <f t="shared" ca="1" si="11"/>
        <v>0</v>
      </c>
      <c r="F8" s="36" t="str">
        <f t="shared" ca="1" si="12"/>
        <v>IN</v>
      </c>
      <c r="G8" s="36">
        <f t="shared" ca="1" si="13"/>
        <v>0</v>
      </c>
      <c r="H8" s="36" t="str">
        <f t="shared" ca="1" si="14"/>
        <v>Unassigned:</v>
      </c>
      <c r="I8" s="49" t="e">
        <f ca="1">VLOOKUP(Mapping[[#This Row],[Object Name]],PCB_PIN_TABLE,2, FALSE)</f>
        <v>#N/A</v>
      </c>
      <c r="J8" s="36" t="str">
        <f ca="1">_xlfn.CONCAT(Mapping[[#This Row],[Module]], " ", Mapping[[#This Row],[Object Name]])</f>
        <v>Unassigned Unassigned:</v>
      </c>
      <c r="K8" s="36" t="str">
        <f t="shared" ca="1" si="7"/>
        <v>CSn004</v>
      </c>
      <c r="L8" s="36" t="str">
        <f t="shared" ca="1" si="8"/>
        <v>-</v>
      </c>
      <c r="M8" s="47"/>
      <c r="N8"/>
    </row>
    <row r="9" spans="1:14" x14ac:dyDescent="0.2">
      <c r="A9" s="46" t="s">
        <v>11</v>
      </c>
      <c r="B9" s="55">
        <f t="shared" si="0"/>
        <v>5</v>
      </c>
      <c r="C9" s="36" t="str">
        <f t="shared" ca="1" si="9"/>
        <v>CTC_SINGLE_TRACK</v>
      </c>
      <c r="D9" s="36" t="str">
        <f t="shared" ca="1" si="10"/>
        <v>Signal Head</v>
      </c>
      <c r="E9" s="36" t="str">
        <f t="shared" ca="1" si="11"/>
        <v>Throw</v>
      </c>
      <c r="F9" s="36" t="str">
        <f t="shared" ca="1" si="12"/>
        <v>OUT</v>
      </c>
      <c r="G9" s="36">
        <f t="shared" ca="1" si="13"/>
        <v>0</v>
      </c>
      <c r="H9" s="36" t="str">
        <f t="shared" ca="1" si="14"/>
        <v>CTC_SINGLE_TRACK:OME:DBL:HEAD0:RED</v>
      </c>
      <c r="I9" s="49" t="e">
        <f ca="1">VLOOKUP(Mapping[[#This Row],[Object Name]],PCB_PIN_TABLE,2, FALSE)</f>
        <v>#N/A</v>
      </c>
      <c r="J9" s="36" t="str">
        <f ca="1">_xlfn.CONCAT(Mapping[[#This Row],[Module]], " ", Mapping[[#This Row],[Object Name]])</f>
        <v>CTC_SINGLE_TRACK CTC_SINGLE_TRACK:OME:DBL:HEAD0:RED</v>
      </c>
      <c r="K9" s="36" t="str">
        <f t="shared" ca="1" si="7"/>
        <v>CTn001</v>
      </c>
      <c r="L9" s="36" t="str">
        <f t="shared" ca="1" si="8"/>
        <v>-</v>
      </c>
      <c r="M9" s="47"/>
      <c r="N9"/>
    </row>
    <row r="10" spans="1:14" x14ac:dyDescent="0.2">
      <c r="A10" s="46" t="s">
        <v>11</v>
      </c>
      <c r="B10" s="55">
        <f t="shared" si="0"/>
        <v>6</v>
      </c>
      <c r="C10" s="36" t="str">
        <f t="shared" ca="1" si="9"/>
        <v>CTC_SINGLE_TRACK</v>
      </c>
      <c r="D10" s="36" t="str">
        <f t="shared" ca="1" si="10"/>
        <v>Signal Head</v>
      </c>
      <c r="E10" s="36" t="str">
        <f t="shared" ca="1" si="11"/>
        <v>Throw</v>
      </c>
      <c r="F10" s="36" t="str">
        <f t="shared" ca="1" si="12"/>
        <v>OUT</v>
      </c>
      <c r="G10" s="36">
        <f t="shared" ca="1" si="13"/>
        <v>0</v>
      </c>
      <c r="H10" s="36" t="str">
        <f t="shared" ca="1" si="14"/>
        <v>CTC_SINGLE_TRACK:OME:DBL:HEAD0:YEL</v>
      </c>
      <c r="I10" s="49" t="e">
        <f ca="1">VLOOKUP(Mapping[[#This Row],[Object Name]],PCB_PIN_TABLE,2, FALSE)</f>
        <v>#N/A</v>
      </c>
      <c r="J10" s="36" t="str">
        <f ca="1">_xlfn.CONCAT(Mapping[[#This Row],[Module]], " ", Mapping[[#This Row],[Object Name]])</f>
        <v>CTC_SINGLE_TRACK CTC_SINGLE_TRACK:OME:DBL:HEAD0:YEL</v>
      </c>
      <c r="K10" s="36" t="str">
        <f t="shared" ca="1" si="7"/>
        <v>CTn002</v>
      </c>
      <c r="L10" s="36" t="str">
        <f t="shared" ca="1" si="8"/>
        <v>-</v>
      </c>
      <c r="M10" s="47"/>
      <c r="N10"/>
    </row>
    <row r="11" spans="1:14" x14ac:dyDescent="0.2">
      <c r="A11" s="46" t="s">
        <v>11</v>
      </c>
      <c r="B11" s="55">
        <f t="shared" si="0"/>
        <v>7</v>
      </c>
      <c r="C11" s="36" t="str">
        <f t="shared" ca="1" si="9"/>
        <v>CTC_SINGLE_TRACK</v>
      </c>
      <c r="D11" s="36" t="str">
        <f t="shared" ca="1" si="10"/>
        <v>Signal Head</v>
      </c>
      <c r="E11" s="36" t="str">
        <f t="shared" ca="1" si="11"/>
        <v>Throw</v>
      </c>
      <c r="F11" s="36" t="str">
        <f t="shared" ca="1" si="12"/>
        <v>OUT</v>
      </c>
      <c r="G11" s="36">
        <f t="shared" ca="1" si="13"/>
        <v>0</v>
      </c>
      <c r="H11" s="36" t="str">
        <f t="shared" ca="1" si="14"/>
        <v>CTC_SINGLE_TRACK:OME:DBL:HEAD0:GRN</v>
      </c>
      <c r="I11" s="49" t="e">
        <f ca="1">VLOOKUP(Mapping[[#This Row],[Object Name]],PCB_PIN_TABLE,2, FALSE)</f>
        <v>#N/A</v>
      </c>
      <c r="J11" s="36" t="str">
        <f ca="1">_xlfn.CONCAT(Mapping[[#This Row],[Module]], " ", Mapping[[#This Row],[Object Name]])</f>
        <v>CTC_SINGLE_TRACK CTC_SINGLE_TRACK:OME:DBL:HEAD0:GRN</v>
      </c>
      <c r="K11" s="36" t="str">
        <f t="shared" ca="1" si="7"/>
        <v>CTn003</v>
      </c>
      <c r="L11" s="36" t="str">
        <f t="shared" ca="1" si="8"/>
        <v>-</v>
      </c>
      <c r="M11" s="47"/>
      <c r="N11"/>
    </row>
    <row r="12" spans="1:14" x14ac:dyDescent="0.2">
      <c r="A12" s="46" t="s">
        <v>11</v>
      </c>
      <c r="B12" s="55">
        <f t="shared" si="0"/>
        <v>8</v>
      </c>
      <c r="C12" s="36" t="str">
        <f t="shared" ca="1" si="9"/>
        <v>CTC_SINGLE_TRACK</v>
      </c>
      <c r="D12" s="36" t="str">
        <f t="shared" ca="1" si="10"/>
        <v>Signal Head</v>
      </c>
      <c r="E12" s="36" t="str">
        <f t="shared" ca="1" si="11"/>
        <v>Throw</v>
      </c>
      <c r="F12" s="36" t="str">
        <f t="shared" ca="1" si="12"/>
        <v>OUT</v>
      </c>
      <c r="G12" s="36">
        <f t="shared" ca="1" si="13"/>
        <v>0</v>
      </c>
      <c r="H12" s="36" t="str">
        <f t="shared" ca="1" si="14"/>
        <v>CTC_SINGLE_TRACK:OME:DBL:HEAD1:RED</v>
      </c>
      <c r="I12" s="49" t="e">
        <f ca="1">VLOOKUP(Mapping[[#This Row],[Object Name]],PCB_PIN_TABLE,2, FALSE)</f>
        <v>#N/A</v>
      </c>
      <c r="J12" s="36" t="str">
        <f ca="1">_xlfn.CONCAT(Mapping[[#This Row],[Module]], " ", Mapping[[#This Row],[Object Name]])</f>
        <v>CTC_SINGLE_TRACK CTC_SINGLE_TRACK:OME:DBL:HEAD1:RED</v>
      </c>
      <c r="K12" s="36" t="str">
        <f t="shared" ca="1" si="7"/>
        <v>CTn004</v>
      </c>
      <c r="L12" s="36" t="str">
        <f t="shared" ca="1" si="8"/>
        <v>-</v>
      </c>
      <c r="M12" s="47"/>
      <c r="N12"/>
    </row>
    <row r="13" spans="1:14" x14ac:dyDescent="0.2">
      <c r="A13" s="46" t="s">
        <v>11</v>
      </c>
      <c r="B13" s="55">
        <f t="shared" si="0"/>
        <v>9</v>
      </c>
      <c r="C13" s="36" t="str">
        <f t="shared" ca="1" si="9"/>
        <v>CTC_SINGLE_TRACK</v>
      </c>
      <c r="D13" s="36" t="str">
        <f t="shared" ca="1" si="10"/>
        <v>Signal Head</v>
      </c>
      <c r="E13" s="36" t="str">
        <f t="shared" ca="1" si="11"/>
        <v>Throw</v>
      </c>
      <c r="F13" s="36" t="str">
        <f t="shared" ca="1" si="12"/>
        <v>OUT</v>
      </c>
      <c r="G13" s="36">
        <f t="shared" ca="1" si="13"/>
        <v>0</v>
      </c>
      <c r="H13" s="36" t="str">
        <f t="shared" ca="1" si="14"/>
        <v>CTC_SINGLE_TRACK:OME:DBL:HEAD1:YEL</v>
      </c>
      <c r="I13" s="49" t="e">
        <f ca="1">VLOOKUP(Mapping[[#This Row],[Object Name]],PCB_PIN_TABLE,2, FALSE)</f>
        <v>#N/A</v>
      </c>
      <c r="J13" s="36" t="str">
        <f ca="1">_xlfn.CONCAT(Mapping[[#This Row],[Module]], " ", Mapping[[#This Row],[Object Name]])</f>
        <v>CTC_SINGLE_TRACK CTC_SINGLE_TRACK:OME:DBL:HEAD1:YEL</v>
      </c>
      <c r="K13" s="36" t="str">
        <f t="shared" ca="1" si="7"/>
        <v>CTn005</v>
      </c>
      <c r="L13" s="36" t="str">
        <f t="shared" ca="1" si="8"/>
        <v>-</v>
      </c>
      <c r="M13" s="47"/>
      <c r="N13"/>
    </row>
    <row r="14" spans="1:14" x14ac:dyDescent="0.2">
      <c r="A14" s="46" t="s">
        <v>11</v>
      </c>
      <c r="B14" s="55">
        <f t="shared" si="0"/>
        <v>10</v>
      </c>
      <c r="C14" s="36" t="str">
        <f t="shared" ca="1" si="9"/>
        <v>CTC_SINGLE_TRACK</v>
      </c>
      <c r="D14" s="36" t="str">
        <f t="shared" ca="1" si="10"/>
        <v>Signal Head</v>
      </c>
      <c r="E14" s="36" t="str">
        <f t="shared" ca="1" si="11"/>
        <v>Throw</v>
      </c>
      <c r="F14" s="36" t="str">
        <f t="shared" ca="1" si="12"/>
        <v>OUT</v>
      </c>
      <c r="G14" s="36">
        <f t="shared" ca="1" si="13"/>
        <v>0</v>
      </c>
      <c r="H14" s="36" t="str">
        <f t="shared" ca="1" si="14"/>
        <v>CTC_SINGLE_TRACK:OME:DBL:HEAD1:GRN</v>
      </c>
      <c r="I14" s="49" t="e">
        <f ca="1">VLOOKUP(Mapping[[#This Row],[Object Name]],PCB_PIN_TABLE,2, FALSE)</f>
        <v>#N/A</v>
      </c>
      <c r="J14" s="36" t="str">
        <f ca="1">_xlfn.CONCAT(Mapping[[#This Row],[Module]], " ", Mapping[[#This Row],[Object Name]])</f>
        <v>CTC_SINGLE_TRACK CTC_SINGLE_TRACK:OME:DBL:HEAD1:GRN</v>
      </c>
      <c r="K14" s="36" t="str">
        <f t="shared" ca="1" si="7"/>
        <v>CTn006</v>
      </c>
      <c r="L14" s="36" t="str">
        <f t="shared" ca="1" si="8"/>
        <v>-</v>
      </c>
      <c r="M14" s="47"/>
      <c r="N14"/>
    </row>
    <row r="15" spans="1:14" x14ac:dyDescent="0.2">
      <c r="A15" s="46" t="s">
        <v>11</v>
      </c>
      <c r="B15" s="55">
        <f t="shared" si="0"/>
        <v>11</v>
      </c>
      <c r="C15" s="36" t="str">
        <f t="shared" ca="1" si="9"/>
        <v>CTC_SINGLE_TRACK</v>
      </c>
      <c r="D15" s="36" t="str">
        <f t="shared" ca="1" si="10"/>
        <v>Signal Head</v>
      </c>
      <c r="E15" s="36" t="str">
        <f t="shared" ca="1" si="11"/>
        <v>Throw</v>
      </c>
      <c r="F15" s="36" t="str">
        <f t="shared" ca="1" si="12"/>
        <v>OUT</v>
      </c>
      <c r="G15" s="36">
        <f t="shared" ca="1" si="13"/>
        <v>0</v>
      </c>
      <c r="H15" s="36" t="str">
        <f t="shared" ca="1" si="14"/>
        <v>CTC_SINGLE_TRACK:OMW:DBL:HEAD0:RED</v>
      </c>
      <c r="I15" s="49" t="e">
        <f ca="1">VLOOKUP(Mapping[[#This Row],[Object Name]],PCB_PIN_TABLE,2, FALSE)</f>
        <v>#N/A</v>
      </c>
      <c r="J15" s="36" t="str">
        <f ca="1">_xlfn.CONCAT(Mapping[[#This Row],[Module]], " ", Mapping[[#This Row],[Object Name]])</f>
        <v>CTC_SINGLE_TRACK CTC_SINGLE_TRACK:OMW:DBL:HEAD0:RED</v>
      </c>
      <c r="K15" s="36" t="str">
        <f t="shared" ca="1" si="7"/>
        <v>CTn007</v>
      </c>
      <c r="L15" s="36" t="str">
        <f t="shared" ca="1" si="8"/>
        <v>-</v>
      </c>
      <c r="M15" s="47"/>
      <c r="N15"/>
    </row>
    <row r="16" spans="1:14" x14ac:dyDescent="0.2">
      <c r="A16" s="46" t="s">
        <v>11</v>
      </c>
      <c r="B16" s="55">
        <f t="shared" si="0"/>
        <v>12</v>
      </c>
      <c r="C16" s="36" t="str">
        <f t="shared" ca="1" si="9"/>
        <v>CTC_SINGLE_TRACK</v>
      </c>
      <c r="D16" s="36" t="str">
        <f t="shared" ca="1" si="10"/>
        <v>Signal Head</v>
      </c>
      <c r="E16" s="36" t="str">
        <f t="shared" ca="1" si="11"/>
        <v>Throw</v>
      </c>
      <c r="F16" s="36" t="str">
        <f t="shared" ca="1" si="12"/>
        <v>OUT</v>
      </c>
      <c r="G16" s="36">
        <f t="shared" ca="1" si="13"/>
        <v>0</v>
      </c>
      <c r="H16" s="36" t="str">
        <f t="shared" ca="1" si="14"/>
        <v>CTC_SINGLE_TRACK:OMW:DBL:HEAD0:YEL</v>
      </c>
      <c r="I16" s="49" t="e">
        <f ca="1">VLOOKUP(Mapping[[#This Row],[Object Name]],PCB_PIN_TABLE,2, FALSE)</f>
        <v>#N/A</v>
      </c>
      <c r="J16" s="36" t="str">
        <f ca="1">_xlfn.CONCAT(Mapping[[#This Row],[Module]], " ", Mapping[[#This Row],[Object Name]])</f>
        <v>CTC_SINGLE_TRACK CTC_SINGLE_TRACK:OMW:DBL:HEAD0:YEL</v>
      </c>
      <c r="K16" s="36" t="str">
        <f t="shared" ca="1" si="7"/>
        <v>CTn008</v>
      </c>
      <c r="L16" s="36" t="str">
        <f t="shared" ca="1" si="8"/>
        <v>-</v>
      </c>
      <c r="M16" s="47"/>
      <c r="N16"/>
    </row>
    <row r="17" spans="1:14" x14ac:dyDescent="0.2">
      <c r="A17" s="46" t="s">
        <v>11</v>
      </c>
      <c r="B17" s="55">
        <f t="shared" si="0"/>
        <v>13</v>
      </c>
      <c r="C17" s="36" t="str">
        <f t="shared" ca="1" si="9"/>
        <v>CTC_SINGLE_TRACK</v>
      </c>
      <c r="D17" s="36" t="str">
        <f t="shared" ca="1" si="10"/>
        <v>Signal Head</v>
      </c>
      <c r="E17" s="36" t="str">
        <f t="shared" ca="1" si="11"/>
        <v>Throw</v>
      </c>
      <c r="F17" s="36" t="str">
        <f t="shared" ca="1" si="12"/>
        <v>OUT</v>
      </c>
      <c r="G17" s="36">
        <f t="shared" ca="1" si="13"/>
        <v>0</v>
      </c>
      <c r="H17" s="36" t="str">
        <f t="shared" ca="1" si="14"/>
        <v>CTC_SINGLE_TRACK:OMW:DBL:HEAD0:GRN</v>
      </c>
      <c r="I17" s="49" t="e">
        <f ca="1">VLOOKUP(Mapping[[#This Row],[Object Name]],PCB_PIN_TABLE,2, FALSE)</f>
        <v>#N/A</v>
      </c>
      <c r="J17" s="36" t="str">
        <f ca="1">_xlfn.CONCAT(Mapping[[#This Row],[Module]], " ", Mapping[[#This Row],[Object Name]])</f>
        <v>CTC_SINGLE_TRACK CTC_SINGLE_TRACK:OMW:DBL:HEAD0:GRN</v>
      </c>
      <c r="K17" s="36" t="str">
        <f t="shared" ca="1" si="7"/>
        <v>CTn009</v>
      </c>
      <c r="L17" s="36" t="str">
        <f t="shared" ca="1" si="8"/>
        <v>-</v>
      </c>
      <c r="M17" s="47"/>
      <c r="N17"/>
    </row>
    <row r="18" spans="1:14" x14ac:dyDescent="0.2">
      <c r="A18" s="46" t="s">
        <v>11</v>
      </c>
      <c r="B18" s="55">
        <f t="shared" si="0"/>
        <v>14</v>
      </c>
      <c r="C18" s="36" t="str">
        <f t="shared" ca="1" si="9"/>
        <v>CTC_SINGLE_TRACK</v>
      </c>
      <c r="D18" s="36" t="str">
        <f t="shared" ca="1" si="10"/>
        <v>Signal Head</v>
      </c>
      <c r="E18" s="36" t="str">
        <f t="shared" ca="1" si="11"/>
        <v>Throw</v>
      </c>
      <c r="F18" s="36" t="str">
        <f t="shared" ca="1" si="12"/>
        <v>OUT</v>
      </c>
      <c r="G18" s="36">
        <f t="shared" ca="1" si="13"/>
        <v>0</v>
      </c>
      <c r="H18" s="36" t="str">
        <f t="shared" ca="1" si="14"/>
        <v>CTC_SINGLE_TRACK:OMW:DBL:HEAD1:RED</v>
      </c>
      <c r="I18" s="49" t="e">
        <f ca="1">VLOOKUP(Mapping[[#This Row],[Object Name]],PCB_PIN_TABLE,2, FALSE)</f>
        <v>#N/A</v>
      </c>
      <c r="J18" s="36" t="str">
        <f ca="1">_xlfn.CONCAT(Mapping[[#This Row],[Module]], " ", Mapping[[#This Row],[Object Name]])</f>
        <v>CTC_SINGLE_TRACK CTC_SINGLE_TRACK:OMW:DBL:HEAD1:RED</v>
      </c>
      <c r="K18" s="36" t="str">
        <f t="shared" ca="1" si="7"/>
        <v>CTn010</v>
      </c>
      <c r="L18" s="36" t="str">
        <f t="shared" ca="1" si="8"/>
        <v>-</v>
      </c>
      <c r="M18" s="47"/>
      <c r="N18"/>
    </row>
    <row r="19" spans="1:14" x14ac:dyDescent="0.2">
      <c r="A19" s="46" t="s">
        <v>11</v>
      </c>
      <c r="B19" s="55">
        <f t="shared" si="0"/>
        <v>15</v>
      </c>
      <c r="C19" s="36" t="str">
        <f t="shared" ca="1" si="9"/>
        <v>CTC_SINGLE_TRACK</v>
      </c>
      <c r="D19" s="36" t="str">
        <f t="shared" ca="1" si="10"/>
        <v>Signal Head</v>
      </c>
      <c r="E19" s="36" t="str">
        <f t="shared" ca="1" si="11"/>
        <v>Throw</v>
      </c>
      <c r="F19" s="36" t="str">
        <f t="shared" ca="1" si="12"/>
        <v>OUT</v>
      </c>
      <c r="G19" s="36">
        <f t="shared" ca="1" si="13"/>
        <v>0</v>
      </c>
      <c r="H19" s="36" t="str">
        <f t="shared" ca="1" si="14"/>
        <v>CTC_SINGLE_TRACK:OMW:DBL:HEAD1:YEL</v>
      </c>
      <c r="I19" s="49" t="e">
        <f ca="1">VLOOKUP(Mapping[[#This Row],[Object Name]],PCB_PIN_TABLE,2, FALSE)</f>
        <v>#N/A</v>
      </c>
      <c r="J19" s="36" t="str">
        <f ca="1">_xlfn.CONCAT(Mapping[[#This Row],[Module]], " ", Mapping[[#This Row],[Object Name]])</f>
        <v>CTC_SINGLE_TRACK CTC_SINGLE_TRACK:OMW:DBL:HEAD1:YEL</v>
      </c>
      <c r="K19" s="36" t="str">
        <f t="shared" ca="1" si="7"/>
        <v>CTn011</v>
      </c>
      <c r="L19" s="36" t="str">
        <f t="shared" ca="1" si="8"/>
        <v>-</v>
      </c>
      <c r="M19" s="47"/>
      <c r="N19"/>
    </row>
    <row r="20" spans="1:14" x14ac:dyDescent="0.2">
      <c r="A20" s="46" t="s">
        <v>11</v>
      </c>
      <c r="B20" s="55">
        <f t="shared" si="0"/>
        <v>16</v>
      </c>
      <c r="C20" s="36" t="str">
        <f t="shared" ca="1" si="9"/>
        <v>CTC_SINGLE_TRACK</v>
      </c>
      <c r="D20" s="36" t="str">
        <f t="shared" ca="1" si="10"/>
        <v>Signal Head</v>
      </c>
      <c r="E20" s="36" t="str">
        <f t="shared" ca="1" si="11"/>
        <v>Throw</v>
      </c>
      <c r="F20" s="36" t="str">
        <f t="shared" ca="1" si="12"/>
        <v>OUT</v>
      </c>
      <c r="G20" s="36">
        <f t="shared" ca="1" si="13"/>
        <v>0</v>
      </c>
      <c r="H20" s="36" t="str">
        <f t="shared" ca="1" si="14"/>
        <v>CTC_SINGLE_TRACK:OMW:DBL:HEAD1:GRN</v>
      </c>
      <c r="I20" s="49" t="e">
        <f ca="1">VLOOKUP(Mapping[[#This Row],[Object Name]],PCB_PIN_TABLE,2, FALSE)</f>
        <v>#N/A</v>
      </c>
      <c r="J20" s="36" t="str">
        <f ca="1">_xlfn.CONCAT(Mapping[[#This Row],[Module]], " ", Mapping[[#This Row],[Object Name]])</f>
        <v>CTC_SINGLE_TRACK CTC_SINGLE_TRACK:OMW:DBL:HEAD1:GRN</v>
      </c>
      <c r="K20" s="36" t="str">
        <f t="shared" ca="1" si="7"/>
        <v>CTn012</v>
      </c>
      <c r="L20" s="36" t="str">
        <f t="shared" ca="1" si="8"/>
        <v>-</v>
      </c>
      <c r="M20" s="47"/>
      <c r="N20"/>
    </row>
    <row r="21" spans="1:14" x14ac:dyDescent="0.2">
      <c r="A21" s="46" t="s">
        <v>20</v>
      </c>
      <c r="B21" s="55">
        <f t="shared" si="0"/>
        <v>1</v>
      </c>
      <c r="C21" s="36" t="str">
        <f t="shared" ca="1" si="9"/>
        <v>CTC_DOUBLE_TRACK</v>
      </c>
      <c r="D21" s="36" t="str">
        <f t="shared" ca="1" si="10"/>
        <v>Occupied Report</v>
      </c>
      <c r="E21" s="36" t="str">
        <f t="shared" ca="1" si="11"/>
        <v>Throw</v>
      </c>
      <c r="F21" s="36" t="str">
        <f t="shared" ca="1" si="12"/>
        <v>IN</v>
      </c>
      <c r="G21" s="36">
        <f t="shared" ca="1" si="13"/>
        <v>0</v>
      </c>
      <c r="H21" s="36" t="str">
        <f t="shared" ca="1" si="14"/>
        <v>CTC_DOUBLE_TRACK:OME:TS1</v>
      </c>
      <c r="I21" s="49" t="e">
        <f ca="1">VLOOKUP(Mapping[[#This Row],[Object Name]],PCB_PIN_TABLE,2, FALSE)</f>
        <v>#N/A</v>
      </c>
      <c r="J21" s="36" t="str">
        <f ca="1">_xlfn.CONCAT(Mapping[[#This Row],[Module]], " ", Mapping[[#This Row],[Object Name]])</f>
        <v>CTC_DOUBLE_TRACK CTC_DOUBLE_TRACK:OME:TS1</v>
      </c>
      <c r="K21" s="36" t="e">
        <f t="shared" ca="1" si="7"/>
        <v>#N/A</v>
      </c>
      <c r="L21" s="36" t="str">
        <f t="shared" ca="1" si="8"/>
        <v>-</v>
      </c>
      <c r="M21" s="47"/>
      <c r="N21"/>
    </row>
    <row r="22" spans="1:14" x14ac:dyDescent="0.2">
      <c r="A22" s="46" t="s">
        <v>20</v>
      </c>
      <c r="B22" s="55">
        <f t="shared" si="0"/>
        <v>2</v>
      </c>
      <c r="C22" s="36" t="str">
        <f t="shared" ca="1" si="9"/>
        <v>CTC_DOUBLE_TRACK</v>
      </c>
      <c r="D22" s="36" t="str">
        <f t="shared" ca="1" si="10"/>
        <v>Occupied Report</v>
      </c>
      <c r="E22" s="36" t="str">
        <f t="shared" ca="1" si="11"/>
        <v>Throw</v>
      </c>
      <c r="F22" s="36" t="str">
        <f t="shared" ca="1" si="12"/>
        <v>IN</v>
      </c>
      <c r="G22" s="36">
        <f t="shared" ca="1" si="13"/>
        <v>0</v>
      </c>
      <c r="H22" s="36" t="str">
        <f t="shared" ca="1" si="14"/>
        <v>CTC_DOUBLE_TRACK:OME:TS2</v>
      </c>
      <c r="I22" s="49" t="e">
        <f ca="1">VLOOKUP(Mapping[[#This Row],[Object Name]],PCB_PIN_TABLE,2, FALSE)</f>
        <v>#N/A</v>
      </c>
      <c r="J22" s="36" t="str">
        <f ca="1">_xlfn.CONCAT(Mapping[[#This Row],[Module]], " ", Mapping[[#This Row],[Object Name]])</f>
        <v>CTC_DOUBLE_TRACK CTC_DOUBLE_TRACK:OME:TS2</v>
      </c>
      <c r="K22" s="36" t="str">
        <f t="shared" ca="1" si="7"/>
        <v>CSn001</v>
      </c>
      <c r="L22" s="36" t="str">
        <f t="shared" ca="1" si="8"/>
        <v>-</v>
      </c>
      <c r="M22" s="47"/>
      <c r="N22"/>
    </row>
    <row r="23" spans="1:14" x14ac:dyDescent="0.2">
      <c r="A23" s="46" t="s">
        <v>20</v>
      </c>
      <c r="B23" s="55">
        <f t="shared" si="0"/>
        <v>3</v>
      </c>
      <c r="C23" s="36" t="str">
        <f t="shared" ca="1" si="9"/>
        <v>Unassigned</v>
      </c>
      <c r="D23" s="36" t="str">
        <f t="shared" ca="1" si="10"/>
        <v>Unassigned</v>
      </c>
      <c r="E23" s="36">
        <f t="shared" ca="1" si="11"/>
        <v>0</v>
      </c>
      <c r="F23" s="36" t="str">
        <f t="shared" ca="1" si="12"/>
        <v>IN</v>
      </c>
      <c r="G23" s="36">
        <f t="shared" ca="1" si="13"/>
        <v>0</v>
      </c>
      <c r="H23" s="36" t="str">
        <f t="shared" ca="1" si="14"/>
        <v>-</v>
      </c>
      <c r="I23" s="49" t="e">
        <f ca="1">VLOOKUP(Mapping[[#This Row],[Object Name]],PCB_PIN_TABLE,2, FALSE)</f>
        <v>#N/A</v>
      </c>
      <c r="J23" s="36" t="str">
        <f ca="1">_xlfn.CONCAT(Mapping[[#This Row],[Module]], " ", Mapping[[#This Row],[Object Name]])</f>
        <v>Unassigned -</v>
      </c>
      <c r="K23" s="36" t="str">
        <f t="shared" ca="1" si="7"/>
        <v>CSn002</v>
      </c>
      <c r="L23" s="36" t="str">
        <f t="shared" ca="1" si="8"/>
        <v>-</v>
      </c>
      <c r="M23" s="47"/>
      <c r="N23"/>
    </row>
    <row r="24" spans="1:14" x14ac:dyDescent="0.2">
      <c r="A24" s="46" t="s">
        <v>20</v>
      </c>
      <c r="B24" s="55">
        <f t="shared" si="0"/>
        <v>4</v>
      </c>
      <c r="C24" s="36" t="str">
        <f t="shared" ca="1" si="9"/>
        <v>Unassigned</v>
      </c>
      <c r="D24" s="36" t="str">
        <f t="shared" ca="1" si="10"/>
        <v>Unassigned</v>
      </c>
      <c r="E24" s="36">
        <f t="shared" ca="1" si="11"/>
        <v>0</v>
      </c>
      <c r="F24" s="36" t="str">
        <f t="shared" ca="1" si="12"/>
        <v>IN</v>
      </c>
      <c r="G24" s="36">
        <f t="shared" ca="1" si="13"/>
        <v>0</v>
      </c>
      <c r="H24" s="36" t="str">
        <f t="shared" ca="1" si="14"/>
        <v>-</v>
      </c>
      <c r="I24" s="49" t="e">
        <f ca="1">VLOOKUP(Mapping[[#This Row],[Object Name]],PCB_PIN_TABLE,2, FALSE)</f>
        <v>#N/A</v>
      </c>
      <c r="J24" s="36" t="str">
        <f ca="1">_xlfn.CONCAT(Mapping[[#This Row],[Module]], " ", Mapping[[#This Row],[Object Name]])</f>
        <v>Unassigned -</v>
      </c>
      <c r="K24" s="36" t="str">
        <f t="shared" ca="1" si="7"/>
        <v>CSn003</v>
      </c>
      <c r="L24" s="36" t="str">
        <f t="shared" ca="1" si="8"/>
        <v>-</v>
      </c>
      <c r="M24" s="47"/>
      <c r="N24"/>
    </row>
    <row r="25" spans="1:14" x14ac:dyDescent="0.2">
      <c r="A25" s="46" t="s">
        <v>20</v>
      </c>
      <c r="B25" s="55">
        <f t="shared" si="0"/>
        <v>5</v>
      </c>
      <c r="C25" s="36" t="str">
        <f t="shared" ca="1" si="9"/>
        <v>CTC_DOUBLE_TRACK</v>
      </c>
      <c r="D25" s="36" t="str">
        <f t="shared" ca="1" si="10"/>
        <v>Occupied Report</v>
      </c>
      <c r="E25" s="36" t="str">
        <f t="shared" ca="1" si="11"/>
        <v>Throw</v>
      </c>
      <c r="F25" s="36" t="str">
        <f t="shared" ca="1" si="12"/>
        <v>IN</v>
      </c>
      <c r="G25" s="36">
        <f t="shared" ca="1" si="13"/>
        <v>0</v>
      </c>
      <c r="H25" s="36" t="str">
        <f t="shared" ca="1" si="14"/>
        <v>CTC_DOUBLE_TRACK:IMW:TS1</v>
      </c>
      <c r="I25" s="49" t="e">
        <f ca="1">VLOOKUP(Mapping[[#This Row],[Object Name]],PCB_PIN_TABLE,2, FALSE)</f>
        <v>#N/A</v>
      </c>
      <c r="J25" s="36" t="str">
        <f ca="1">_xlfn.CONCAT(Mapping[[#This Row],[Module]], " ", Mapping[[#This Row],[Object Name]])</f>
        <v>CTC_DOUBLE_TRACK CTC_DOUBLE_TRACK:IMW:TS1</v>
      </c>
      <c r="K25" s="36" t="str">
        <f t="shared" ca="1" si="7"/>
        <v>CSn004</v>
      </c>
      <c r="L25" s="36" t="str">
        <f t="shared" ca="1" si="8"/>
        <v>-</v>
      </c>
      <c r="M25" s="47"/>
      <c r="N25"/>
    </row>
    <row r="26" spans="1:14" x14ac:dyDescent="0.2">
      <c r="A26" s="46" t="s">
        <v>20</v>
      </c>
      <c r="B26" s="55">
        <f t="shared" si="0"/>
        <v>6</v>
      </c>
      <c r="C26" s="36" t="str">
        <f t="shared" ca="1" si="9"/>
        <v>CTC_DOUBLE_TRACK</v>
      </c>
      <c r="D26" s="36" t="str">
        <f t="shared" ca="1" si="10"/>
        <v>Occupied Report</v>
      </c>
      <c r="E26" s="36" t="str">
        <f t="shared" ca="1" si="11"/>
        <v>Throw</v>
      </c>
      <c r="F26" s="36" t="str">
        <f t="shared" ca="1" si="12"/>
        <v>IN</v>
      </c>
      <c r="G26" s="36">
        <f t="shared" ca="1" si="13"/>
        <v>0</v>
      </c>
      <c r="H26" s="36" t="str">
        <f t="shared" ca="1" si="14"/>
        <v>CTC_DOUBLE_TRACK:IMW:TS2</v>
      </c>
      <c r="I26" s="49" t="e">
        <f ca="1">VLOOKUP(Mapping[[#This Row],[Object Name]],PCB_PIN_TABLE,2, FALSE)</f>
        <v>#N/A</v>
      </c>
      <c r="J26" s="36" t="str">
        <f ca="1">_xlfn.CONCAT(Mapping[[#This Row],[Module]], " ", Mapping[[#This Row],[Object Name]])</f>
        <v>CTC_DOUBLE_TRACK CTC_DOUBLE_TRACK:IMW:TS2</v>
      </c>
      <c r="K26" s="36" t="str">
        <f t="shared" ca="1" si="7"/>
        <v>CSn005</v>
      </c>
      <c r="L26" s="36" t="str">
        <f t="shared" ca="1" si="8"/>
        <v>-</v>
      </c>
      <c r="M26" s="47"/>
      <c r="N26"/>
    </row>
    <row r="27" spans="1:14" x14ac:dyDescent="0.2">
      <c r="A27" s="46" t="s">
        <v>20</v>
      </c>
      <c r="B27" s="55">
        <f t="shared" si="0"/>
        <v>7</v>
      </c>
      <c r="C27" s="36" t="str">
        <f t="shared" ca="1" si="9"/>
        <v>Unassigned</v>
      </c>
      <c r="D27" s="36" t="str">
        <f t="shared" ca="1" si="10"/>
        <v>Unassigned</v>
      </c>
      <c r="E27" s="36">
        <f t="shared" ca="1" si="11"/>
        <v>0</v>
      </c>
      <c r="F27" s="36" t="str">
        <f t="shared" ca="1" si="12"/>
        <v>IN</v>
      </c>
      <c r="G27" s="36">
        <f t="shared" ca="1" si="13"/>
        <v>0</v>
      </c>
      <c r="H27" s="36" t="str">
        <f t="shared" ca="1" si="14"/>
        <v>-</v>
      </c>
      <c r="I27" s="49" t="e">
        <f ca="1">VLOOKUP(Mapping[[#This Row],[Object Name]],PCB_PIN_TABLE,2, FALSE)</f>
        <v>#N/A</v>
      </c>
      <c r="J27" s="36" t="str">
        <f ca="1">_xlfn.CONCAT(Mapping[[#This Row],[Module]], " ", Mapping[[#This Row],[Object Name]])</f>
        <v>Unassigned -</v>
      </c>
      <c r="K27" s="36" t="str">
        <f t="shared" ca="1" si="7"/>
        <v>CSn006</v>
      </c>
      <c r="L27" s="36" t="str">
        <f t="shared" ca="1" si="8"/>
        <v>-</v>
      </c>
      <c r="M27" s="47"/>
      <c r="N27"/>
    </row>
    <row r="28" spans="1:14" x14ac:dyDescent="0.2">
      <c r="A28" s="46" t="s">
        <v>20</v>
      </c>
      <c r="B28" s="55">
        <f t="shared" si="0"/>
        <v>8</v>
      </c>
      <c r="C28" s="36" t="str">
        <f t="shared" ca="1" si="9"/>
        <v>Unassigned</v>
      </c>
      <c r="D28" s="36" t="str">
        <f t="shared" ca="1" si="10"/>
        <v>Unassigned</v>
      </c>
      <c r="E28" s="36">
        <f t="shared" ca="1" si="11"/>
        <v>0</v>
      </c>
      <c r="F28" s="36" t="str">
        <f t="shared" ca="1" si="12"/>
        <v>IN</v>
      </c>
      <c r="G28" s="36">
        <f t="shared" ca="1" si="13"/>
        <v>0</v>
      </c>
      <c r="H28" s="36" t="str">
        <f t="shared" ca="1" si="14"/>
        <v>-</v>
      </c>
      <c r="I28" s="49" t="e">
        <f ca="1">VLOOKUP(Mapping[[#This Row],[Object Name]],PCB_PIN_TABLE,2, FALSE)</f>
        <v>#N/A</v>
      </c>
      <c r="J28" s="36" t="str">
        <f ca="1">_xlfn.CONCAT(Mapping[[#This Row],[Module]], " ", Mapping[[#This Row],[Object Name]])</f>
        <v>Unassigned -</v>
      </c>
      <c r="K28" s="36" t="str">
        <f t="shared" ca="1" si="7"/>
        <v>CSn007</v>
      </c>
      <c r="L28" s="36" t="str">
        <f t="shared" ca="1" si="8"/>
        <v>-</v>
      </c>
      <c r="M28" s="47"/>
      <c r="N28"/>
    </row>
    <row r="29" spans="1:14" x14ac:dyDescent="0.2">
      <c r="A29" s="46" t="s">
        <v>20</v>
      </c>
      <c r="B29" s="55">
        <f t="shared" si="0"/>
        <v>9</v>
      </c>
      <c r="C29" s="36" t="str">
        <f t="shared" ca="1" si="9"/>
        <v>Unassigned</v>
      </c>
      <c r="D29" s="36" t="str">
        <f t="shared" ca="1" si="10"/>
        <v>Unassigned</v>
      </c>
      <c r="E29" s="36">
        <f t="shared" ca="1" si="11"/>
        <v>0</v>
      </c>
      <c r="F29" s="36" t="str">
        <f t="shared" ca="1" si="12"/>
        <v>IN</v>
      </c>
      <c r="G29" s="36">
        <f t="shared" ca="1" si="13"/>
        <v>0</v>
      </c>
      <c r="H29" s="36" t="str">
        <f t="shared" ca="1" si="14"/>
        <v>-</v>
      </c>
      <c r="I29" s="49" t="e">
        <f ca="1">VLOOKUP(Mapping[[#This Row],[Object Name]],PCB_PIN_TABLE,2, FALSE)</f>
        <v>#N/A</v>
      </c>
      <c r="J29" s="36" t="str">
        <f ca="1">_xlfn.CONCAT(Mapping[[#This Row],[Module]], " ", Mapping[[#This Row],[Object Name]])</f>
        <v>Unassigned -</v>
      </c>
      <c r="K29" s="36" t="str">
        <f t="shared" ca="1" si="7"/>
        <v>CSn008</v>
      </c>
      <c r="L29" s="36" t="str">
        <f t="shared" ca="1" si="8"/>
        <v>-</v>
      </c>
      <c r="M29" s="47"/>
      <c r="N29"/>
    </row>
    <row r="30" spans="1:14" x14ac:dyDescent="0.2">
      <c r="A30" s="46" t="s">
        <v>20</v>
      </c>
      <c r="B30" s="55">
        <f t="shared" si="0"/>
        <v>10</v>
      </c>
      <c r="C30" s="36" t="str">
        <f t="shared" ca="1" si="9"/>
        <v>Unassigned</v>
      </c>
      <c r="D30" s="36" t="str">
        <f t="shared" ca="1" si="10"/>
        <v>Unassigned</v>
      </c>
      <c r="E30" s="36">
        <f t="shared" ca="1" si="11"/>
        <v>0</v>
      </c>
      <c r="F30" s="36" t="str">
        <f t="shared" ca="1" si="12"/>
        <v>IN</v>
      </c>
      <c r="G30" s="36">
        <f t="shared" ca="1" si="13"/>
        <v>0</v>
      </c>
      <c r="H30" s="36" t="str">
        <f t="shared" ca="1" si="14"/>
        <v>-</v>
      </c>
      <c r="I30" s="49" t="e">
        <f ca="1">VLOOKUP(Mapping[[#This Row],[Object Name]],PCB_PIN_TABLE,2, FALSE)</f>
        <v>#N/A</v>
      </c>
      <c r="J30" s="36" t="str">
        <f ca="1">_xlfn.CONCAT(Mapping[[#This Row],[Module]], " ", Mapping[[#This Row],[Object Name]])</f>
        <v>Unassigned -</v>
      </c>
      <c r="K30" s="36" t="str">
        <f t="shared" ca="1" si="7"/>
        <v>CSn009</v>
      </c>
      <c r="L30" s="36" t="str">
        <f t="shared" ca="1" si="8"/>
        <v>-</v>
      </c>
      <c r="M30" s="47"/>
      <c r="N30"/>
    </row>
    <row r="31" spans="1:14" x14ac:dyDescent="0.2">
      <c r="A31" s="46" t="s">
        <v>20</v>
      </c>
      <c r="B31" s="55">
        <f t="shared" si="0"/>
        <v>11</v>
      </c>
      <c r="C31" s="36" t="str">
        <f t="shared" ca="1" si="9"/>
        <v>Unassigned</v>
      </c>
      <c r="D31" s="36" t="str">
        <f t="shared" ca="1" si="10"/>
        <v>Unassigned</v>
      </c>
      <c r="E31" s="36">
        <f t="shared" ca="1" si="11"/>
        <v>0</v>
      </c>
      <c r="F31" s="36" t="str">
        <f t="shared" ca="1" si="12"/>
        <v>IN</v>
      </c>
      <c r="G31" s="36">
        <f t="shared" ca="1" si="13"/>
        <v>0</v>
      </c>
      <c r="H31" s="36" t="str">
        <f t="shared" ca="1" si="14"/>
        <v>-</v>
      </c>
      <c r="I31" s="49" t="e">
        <f ca="1">VLOOKUP(Mapping[[#This Row],[Object Name]],PCB_PIN_TABLE,2, FALSE)</f>
        <v>#N/A</v>
      </c>
      <c r="J31" s="36" t="str">
        <f ca="1">_xlfn.CONCAT(Mapping[[#This Row],[Module]], " ", Mapping[[#This Row],[Object Name]])</f>
        <v>Unassigned -</v>
      </c>
      <c r="K31" s="36" t="str">
        <f t="shared" ca="1" si="7"/>
        <v>CSn010</v>
      </c>
      <c r="L31" s="36" t="str">
        <f t="shared" ca="1" si="8"/>
        <v>-</v>
      </c>
      <c r="M31" s="47"/>
      <c r="N31"/>
    </row>
    <row r="32" spans="1:14" x14ac:dyDescent="0.2">
      <c r="A32" s="46" t="s">
        <v>20</v>
      </c>
      <c r="B32" s="55">
        <f t="shared" si="0"/>
        <v>12</v>
      </c>
      <c r="C32" s="36" t="str">
        <f t="shared" ca="1" si="9"/>
        <v>Unassigned</v>
      </c>
      <c r="D32" s="36" t="str">
        <f t="shared" ca="1" si="10"/>
        <v>Unassigned</v>
      </c>
      <c r="E32" s="36">
        <f t="shared" ca="1" si="11"/>
        <v>0</v>
      </c>
      <c r="F32" s="36" t="str">
        <f t="shared" ca="1" si="12"/>
        <v>IN</v>
      </c>
      <c r="G32" s="36">
        <f t="shared" ca="1" si="13"/>
        <v>0</v>
      </c>
      <c r="H32" s="36" t="str">
        <f t="shared" ca="1" si="14"/>
        <v>-</v>
      </c>
      <c r="I32" s="49" t="e">
        <f ca="1">VLOOKUP(Mapping[[#This Row],[Object Name]],PCB_PIN_TABLE,2, FALSE)</f>
        <v>#N/A</v>
      </c>
      <c r="J32" s="36" t="str">
        <f ca="1">_xlfn.CONCAT(Mapping[[#This Row],[Module]], " ", Mapping[[#This Row],[Object Name]])</f>
        <v>Unassigned -</v>
      </c>
      <c r="K32" s="36" t="str">
        <f t="shared" ca="1" si="7"/>
        <v>CSn011</v>
      </c>
      <c r="L32" s="36" t="str">
        <f t="shared" ca="1" si="8"/>
        <v>-</v>
      </c>
      <c r="M32" s="47"/>
      <c r="N32"/>
    </row>
    <row r="33" spans="1:14" x14ac:dyDescent="0.2">
      <c r="A33" s="46" t="s">
        <v>20</v>
      </c>
      <c r="B33" s="55">
        <f t="shared" si="0"/>
        <v>13</v>
      </c>
      <c r="C33" s="36" t="str">
        <f t="shared" ca="1" si="9"/>
        <v>Unassigned</v>
      </c>
      <c r="D33" s="36" t="str">
        <f t="shared" ca="1" si="10"/>
        <v>Unassigned</v>
      </c>
      <c r="E33" s="36">
        <f t="shared" ca="1" si="11"/>
        <v>0</v>
      </c>
      <c r="F33" s="36" t="str">
        <f t="shared" ca="1" si="12"/>
        <v>IN</v>
      </c>
      <c r="G33" s="36">
        <f t="shared" ca="1" si="13"/>
        <v>0</v>
      </c>
      <c r="H33" s="36" t="str">
        <f t="shared" ca="1" si="14"/>
        <v>-</v>
      </c>
      <c r="I33" s="49" t="e">
        <f ca="1">VLOOKUP(Mapping[[#This Row],[Object Name]],PCB_PIN_TABLE,2, FALSE)</f>
        <v>#N/A</v>
      </c>
      <c r="J33" s="36" t="str">
        <f ca="1">_xlfn.CONCAT(Mapping[[#This Row],[Module]], " ", Mapping[[#This Row],[Object Name]])</f>
        <v>Unassigned -</v>
      </c>
      <c r="K33" s="36" t="str">
        <f t="shared" ca="1" si="7"/>
        <v>CSn012</v>
      </c>
      <c r="L33" s="36" t="str">
        <f t="shared" ca="1" si="8"/>
        <v>-</v>
      </c>
      <c r="M33" s="47"/>
      <c r="N33"/>
    </row>
    <row r="34" spans="1:14" x14ac:dyDescent="0.2">
      <c r="A34" s="46" t="s">
        <v>20</v>
      </c>
      <c r="B34" s="55">
        <f t="shared" si="0"/>
        <v>14</v>
      </c>
      <c r="C34" s="36" t="str">
        <f t="shared" ca="1" si="9"/>
        <v>Unassigned</v>
      </c>
      <c r="D34" s="36" t="str">
        <f t="shared" ca="1" si="10"/>
        <v>Unassigned</v>
      </c>
      <c r="E34" s="36">
        <f t="shared" ca="1" si="11"/>
        <v>0</v>
      </c>
      <c r="F34" s="36" t="str">
        <f t="shared" ca="1" si="12"/>
        <v>IN</v>
      </c>
      <c r="G34" s="36">
        <f t="shared" ca="1" si="13"/>
        <v>0</v>
      </c>
      <c r="H34" s="36" t="str">
        <f t="shared" ca="1" si="14"/>
        <v>-</v>
      </c>
      <c r="I34" s="49" t="e">
        <f ca="1">VLOOKUP(Mapping[[#This Row],[Object Name]],PCB_PIN_TABLE,2, FALSE)</f>
        <v>#N/A</v>
      </c>
      <c r="J34" s="36" t="str">
        <f ca="1">_xlfn.CONCAT(Mapping[[#This Row],[Module]], " ", Mapping[[#This Row],[Object Name]])</f>
        <v>Unassigned -</v>
      </c>
      <c r="K34" s="36" t="str">
        <f t="shared" ca="1" si="7"/>
        <v>CSn013</v>
      </c>
      <c r="L34" s="36" t="str">
        <f t="shared" ca="1" si="8"/>
        <v>-</v>
      </c>
      <c r="M34" s="47"/>
      <c r="N34"/>
    </row>
    <row r="35" spans="1:14" x14ac:dyDescent="0.2">
      <c r="A35" s="46" t="s">
        <v>20</v>
      </c>
      <c r="B35" s="55">
        <f t="shared" si="0"/>
        <v>15</v>
      </c>
      <c r="C35" s="36" t="str">
        <f t="shared" ca="1" si="9"/>
        <v>Unassigned</v>
      </c>
      <c r="D35" s="36" t="str">
        <f t="shared" ca="1" si="10"/>
        <v>Unassigned</v>
      </c>
      <c r="E35" s="36">
        <f t="shared" ca="1" si="11"/>
        <v>0</v>
      </c>
      <c r="F35" s="36" t="str">
        <f t="shared" ca="1" si="12"/>
        <v>IN</v>
      </c>
      <c r="G35" s="36">
        <f t="shared" ca="1" si="13"/>
        <v>0</v>
      </c>
      <c r="H35" s="36" t="str">
        <f t="shared" ca="1" si="14"/>
        <v>-</v>
      </c>
      <c r="I35" s="49" t="e">
        <f ca="1">VLOOKUP(Mapping[[#This Row],[Object Name]],PCB_PIN_TABLE,2, FALSE)</f>
        <v>#N/A</v>
      </c>
      <c r="J35" s="36" t="str">
        <f ca="1">_xlfn.CONCAT(Mapping[[#This Row],[Module]], " ", Mapping[[#This Row],[Object Name]])</f>
        <v>Unassigned -</v>
      </c>
      <c r="K35" s="36" t="str">
        <f t="shared" ca="1" si="7"/>
        <v>CSn014</v>
      </c>
      <c r="L35" s="36" t="str">
        <f t="shared" ca="1" si="8"/>
        <v>-</v>
      </c>
      <c r="M35" s="47"/>
      <c r="N35"/>
    </row>
    <row r="36" spans="1:14" x14ac:dyDescent="0.2">
      <c r="A36" s="46" t="s">
        <v>20</v>
      </c>
      <c r="B36" s="55">
        <f t="shared" si="0"/>
        <v>16</v>
      </c>
      <c r="C36" s="36" t="str">
        <f t="shared" ca="1" si="9"/>
        <v>Unassigned</v>
      </c>
      <c r="D36" s="36" t="str">
        <f t="shared" ca="1" si="10"/>
        <v>Unassigned</v>
      </c>
      <c r="E36" s="36">
        <f t="shared" ca="1" si="11"/>
        <v>0</v>
      </c>
      <c r="F36" s="36" t="str">
        <f t="shared" ca="1" si="12"/>
        <v>IN</v>
      </c>
      <c r="G36" s="36">
        <f t="shared" ca="1" si="13"/>
        <v>0</v>
      </c>
      <c r="H36" s="36" t="str">
        <f t="shared" ca="1" si="14"/>
        <v>-</v>
      </c>
      <c r="I36" s="49" t="e">
        <f ca="1">VLOOKUP(Mapping[[#This Row],[Object Name]],PCB_PIN_TABLE,2, FALSE)</f>
        <v>#N/A</v>
      </c>
      <c r="J36" s="36" t="str">
        <f ca="1">_xlfn.CONCAT(Mapping[[#This Row],[Module]], " ", Mapping[[#This Row],[Object Name]])</f>
        <v>Unassigned -</v>
      </c>
      <c r="K36" s="36" t="str">
        <f t="shared" ca="1" si="7"/>
        <v>CSn015</v>
      </c>
      <c r="L36" s="36" t="str">
        <f t="shared" ca="1" si="8"/>
        <v>-</v>
      </c>
      <c r="M36" s="47"/>
      <c r="N36"/>
    </row>
    <row r="37" spans="1:14" x14ac:dyDescent="0.2">
      <c r="A37" s="46" t="s">
        <v>20</v>
      </c>
      <c r="B37" s="55">
        <f t="shared" ref="B37:B68" si="15">IF(A36&lt;&gt;A37,1,B36+1)</f>
        <v>17</v>
      </c>
      <c r="C37" s="36" t="str">
        <f t="shared" ca="1" si="9"/>
        <v>CTC_DOUBLE_TRACK</v>
      </c>
      <c r="D37" s="36" t="str">
        <f t="shared" ca="1" si="10"/>
        <v>Signal Head</v>
      </c>
      <c r="E37" s="36" t="str">
        <f t="shared" ca="1" si="11"/>
        <v>Throw</v>
      </c>
      <c r="F37" s="36" t="str">
        <f t="shared" ca="1" si="12"/>
        <v>OUT</v>
      </c>
      <c r="G37" s="36">
        <f t="shared" ca="1" si="13"/>
        <v>0</v>
      </c>
      <c r="H37" s="36" t="str">
        <f t="shared" ca="1" si="14"/>
        <v>CTC_DOUBLE_TRACK:OME:DBL:HEAD0:RED</v>
      </c>
      <c r="I37" s="49" t="e">
        <f ca="1">VLOOKUP(Mapping[[#This Row],[Object Name]],PCB_PIN_TABLE,2, FALSE)</f>
        <v>#N/A</v>
      </c>
      <c r="J37" s="36" t="str">
        <f ca="1">_xlfn.CONCAT(Mapping[[#This Row],[Module]], " ", Mapping[[#This Row],[Object Name]])</f>
        <v>CTC_DOUBLE_TRACK CTC_DOUBLE_TRACK:OME:DBL:HEAD0:RED</v>
      </c>
      <c r="K37" s="36" t="str">
        <f t="shared" ca="1" si="7"/>
        <v>CTn017</v>
      </c>
      <c r="L37" s="36" t="str">
        <f t="shared" ca="1" si="8"/>
        <v>-</v>
      </c>
      <c r="M37" s="47"/>
      <c r="N37"/>
    </row>
    <row r="38" spans="1:14" x14ac:dyDescent="0.2">
      <c r="A38" s="46" t="s">
        <v>20</v>
      </c>
      <c r="B38" s="55">
        <f t="shared" si="15"/>
        <v>18</v>
      </c>
      <c r="C38" s="36" t="str">
        <f t="shared" ca="1" si="9"/>
        <v>CTC_DOUBLE_TRACK</v>
      </c>
      <c r="D38" s="36" t="str">
        <f t="shared" ca="1" si="10"/>
        <v>Signal Head</v>
      </c>
      <c r="E38" s="36" t="str">
        <f t="shared" ca="1" si="11"/>
        <v>Throw</v>
      </c>
      <c r="F38" s="36" t="str">
        <f t="shared" ca="1" si="12"/>
        <v>OUT</v>
      </c>
      <c r="G38" s="36">
        <f t="shared" ca="1" si="13"/>
        <v>0</v>
      </c>
      <c r="H38" s="36" t="str">
        <f t="shared" ca="1" si="14"/>
        <v>CTC_DOUBLE_TRACK:OME:DBL:HEAD0:YEL</v>
      </c>
      <c r="I38" s="49" t="e">
        <f ca="1">VLOOKUP(Mapping[[#This Row],[Object Name]],PCB_PIN_TABLE,2, FALSE)</f>
        <v>#N/A</v>
      </c>
      <c r="J38" s="36" t="str">
        <f ca="1">_xlfn.CONCAT(Mapping[[#This Row],[Module]], " ", Mapping[[#This Row],[Object Name]])</f>
        <v>CTC_DOUBLE_TRACK CTC_DOUBLE_TRACK:OME:DBL:HEAD0:YEL</v>
      </c>
      <c r="K38" s="36" t="str">
        <f t="shared" ca="1" si="7"/>
        <v>CTn018</v>
      </c>
      <c r="L38" s="36" t="str">
        <f t="shared" ca="1" si="8"/>
        <v>-</v>
      </c>
      <c r="M38" s="47"/>
      <c r="N38"/>
    </row>
    <row r="39" spans="1:14" x14ac:dyDescent="0.2">
      <c r="A39" s="46" t="s">
        <v>20</v>
      </c>
      <c r="B39" s="55">
        <f t="shared" si="15"/>
        <v>19</v>
      </c>
      <c r="C39" s="36" t="str">
        <f t="shared" ca="1" si="9"/>
        <v>CTC_DOUBLE_TRACK</v>
      </c>
      <c r="D39" s="36" t="str">
        <f t="shared" ca="1" si="10"/>
        <v>Signal Head</v>
      </c>
      <c r="E39" s="36" t="str">
        <f t="shared" ca="1" si="11"/>
        <v>Throw</v>
      </c>
      <c r="F39" s="36" t="str">
        <f t="shared" ca="1" si="12"/>
        <v>OUT</v>
      </c>
      <c r="G39" s="36">
        <f t="shared" ca="1" si="13"/>
        <v>0</v>
      </c>
      <c r="H39" s="36" t="str">
        <f t="shared" ca="1" si="14"/>
        <v>CTC_DOUBLE_TRACK:OME:DBL:HEAD0:GRN</v>
      </c>
      <c r="I39" s="49" t="e">
        <f ca="1">VLOOKUP(Mapping[[#This Row],[Object Name]],PCB_PIN_TABLE,2, FALSE)</f>
        <v>#N/A</v>
      </c>
      <c r="J39" s="36" t="str">
        <f ca="1">_xlfn.CONCAT(Mapping[[#This Row],[Module]], " ", Mapping[[#This Row],[Object Name]])</f>
        <v>CTC_DOUBLE_TRACK CTC_DOUBLE_TRACK:OME:DBL:HEAD0:GRN</v>
      </c>
      <c r="K39" s="36" t="str">
        <f t="shared" ca="1" si="7"/>
        <v>CTn019</v>
      </c>
      <c r="L39" s="36" t="str">
        <f t="shared" ca="1" si="8"/>
        <v>-</v>
      </c>
      <c r="M39" s="47"/>
      <c r="N39"/>
    </row>
    <row r="40" spans="1:14" x14ac:dyDescent="0.2">
      <c r="A40" s="46" t="s">
        <v>20</v>
      </c>
      <c r="B40" s="55">
        <f t="shared" si="15"/>
        <v>20</v>
      </c>
      <c r="C40" s="36" t="str">
        <f t="shared" ca="1" si="9"/>
        <v>CTC_DOUBLE_TRACK</v>
      </c>
      <c r="D40" s="36" t="str">
        <f t="shared" ca="1" si="10"/>
        <v>Signal Head</v>
      </c>
      <c r="E40" s="36" t="str">
        <f t="shared" ca="1" si="11"/>
        <v>Throw</v>
      </c>
      <c r="F40" s="36" t="str">
        <f t="shared" ca="1" si="12"/>
        <v>OUT</v>
      </c>
      <c r="G40" s="36">
        <f t="shared" ca="1" si="13"/>
        <v>0</v>
      </c>
      <c r="H40" s="36" t="str">
        <f t="shared" ca="1" si="14"/>
        <v>CTC_DOUBLE_TRACK:OME:DBL:HEAD1:RED</v>
      </c>
      <c r="I40" s="49" t="e">
        <f ca="1">VLOOKUP(Mapping[[#This Row],[Object Name]],PCB_PIN_TABLE,2, FALSE)</f>
        <v>#N/A</v>
      </c>
      <c r="J40" s="36" t="str">
        <f ca="1">_xlfn.CONCAT(Mapping[[#This Row],[Module]], " ", Mapping[[#This Row],[Object Name]])</f>
        <v>CTC_DOUBLE_TRACK CTC_DOUBLE_TRACK:OME:DBL:HEAD1:RED</v>
      </c>
      <c r="K40" s="36" t="str">
        <f t="shared" ca="1" si="7"/>
        <v>CTn020</v>
      </c>
      <c r="L40" s="36" t="str">
        <f t="shared" ca="1" si="8"/>
        <v>-</v>
      </c>
      <c r="M40" s="47"/>
      <c r="N40"/>
    </row>
    <row r="41" spans="1:14" x14ac:dyDescent="0.2">
      <c r="A41" s="46" t="s">
        <v>20</v>
      </c>
      <c r="B41" s="55">
        <f t="shared" si="15"/>
        <v>21</v>
      </c>
      <c r="C41" s="36" t="str">
        <f t="shared" ca="1" si="9"/>
        <v>CTC_DOUBLE_TRACK</v>
      </c>
      <c r="D41" s="36" t="str">
        <f t="shared" ca="1" si="10"/>
        <v>Signal Head</v>
      </c>
      <c r="E41" s="36" t="str">
        <f t="shared" ca="1" si="11"/>
        <v>Throw</v>
      </c>
      <c r="F41" s="36" t="str">
        <f t="shared" ca="1" si="12"/>
        <v>OUT</v>
      </c>
      <c r="G41" s="36">
        <f t="shared" ca="1" si="13"/>
        <v>0</v>
      </c>
      <c r="H41" s="36" t="str">
        <f t="shared" ca="1" si="14"/>
        <v>CTC_DOUBLE_TRACK:OME:DBL:HEAD1:YEL</v>
      </c>
      <c r="I41" s="49" t="e">
        <f ca="1">VLOOKUP(Mapping[[#This Row],[Object Name]],PCB_PIN_TABLE,2, FALSE)</f>
        <v>#N/A</v>
      </c>
      <c r="J41" s="36" t="str">
        <f ca="1">_xlfn.CONCAT(Mapping[[#This Row],[Module]], " ", Mapping[[#This Row],[Object Name]])</f>
        <v>CTC_DOUBLE_TRACK CTC_DOUBLE_TRACK:OME:DBL:HEAD1:YEL</v>
      </c>
      <c r="K41" s="36" t="str">
        <f t="shared" ca="1" si="7"/>
        <v>CTn021</v>
      </c>
      <c r="L41" s="36" t="str">
        <f t="shared" ca="1" si="8"/>
        <v>-</v>
      </c>
      <c r="M41" s="47"/>
      <c r="N41"/>
    </row>
    <row r="42" spans="1:14" x14ac:dyDescent="0.2">
      <c r="A42" s="46" t="s">
        <v>20</v>
      </c>
      <c r="B42" s="55">
        <f t="shared" si="15"/>
        <v>22</v>
      </c>
      <c r="C42" s="36" t="str">
        <f t="shared" ca="1" si="9"/>
        <v>CTC_DOUBLE_TRACK</v>
      </c>
      <c r="D42" s="36" t="str">
        <f t="shared" ca="1" si="10"/>
        <v>Signal Head</v>
      </c>
      <c r="E42" s="36" t="str">
        <f t="shared" ca="1" si="11"/>
        <v>Throw</v>
      </c>
      <c r="F42" s="36" t="str">
        <f t="shared" ca="1" si="12"/>
        <v>OUT</v>
      </c>
      <c r="G42" s="36">
        <f t="shared" ca="1" si="13"/>
        <v>0</v>
      </c>
      <c r="H42" s="36" t="str">
        <f t="shared" ca="1" si="14"/>
        <v>CTC_DOUBLE_TRACK:OME:DBL:HEAD1:GRN</v>
      </c>
      <c r="I42" s="49" t="e">
        <f ca="1">VLOOKUP(Mapping[[#This Row],[Object Name]],PCB_PIN_TABLE,2, FALSE)</f>
        <v>#N/A</v>
      </c>
      <c r="J42" s="36" t="str">
        <f ca="1">_xlfn.CONCAT(Mapping[[#This Row],[Module]], " ", Mapping[[#This Row],[Object Name]])</f>
        <v>CTC_DOUBLE_TRACK CTC_DOUBLE_TRACK:OME:DBL:HEAD1:GRN</v>
      </c>
      <c r="K42" s="36" t="str">
        <f t="shared" ca="1" si="7"/>
        <v>CTn022</v>
      </c>
      <c r="L42" s="36" t="str">
        <f t="shared" ca="1" si="8"/>
        <v>-</v>
      </c>
      <c r="M42" s="47"/>
      <c r="N42"/>
    </row>
    <row r="43" spans="1:14" x14ac:dyDescent="0.2">
      <c r="A43" s="46" t="s">
        <v>20</v>
      </c>
      <c r="B43" s="55">
        <f t="shared" si="15"/>
        <v>23</v>
      </c>
      <c r="C43" s="36" t="str">
        <f t="shared" ca="1" si="9"/>
        <v>CTC_DOUBLE_TRACK</v>
      </c>
      <c r="D43" s="36" t="str">
        <f t="shared" ca="1" si="10"/>
        <v>Signal Head</v>
      </c>
      <c r="E43" s="36" t="str">
        <f t="shared" ca="1" si="11"/>
        <v>Throw</v>
      </c>
      <c r="F43" s="36" t="str">
        <f t="shared" ca="1" si="12"/>
        <v>OUT</v>
      </c>
      <c r="G43" s="36">
        <f t="shared" ca="1" si="13"/>
        <v>0</v>
      </c>
      <c r="H43" s="36" t="str">
        <f t="shared" ca="1" si="14"/>
        <v>CTC_DOUBLE_TRACK:OMW:DBL:HEAD0:RED</v>
      </c>
      <c r="I43" s="49" t="e">
        <f ca="1">VLOOKUP(Mapping[[#This Row],[Object Name]],PCB_PIN_TABLE,2, FALSE)</f>
        <v>#N/A</v>
      </c>
      <c r="J43" s="36" t="str">
        <f ca="1">_xlfn.CONCAT(Mapping[[#This Row],[Module]], " ", Mapping[[#This Row],[Object Name]])</f>
        <v>CTC_DOUBLE_TRACK CTC_DOUBLE_TRACK:OMW:DBL:HEAD0:RED</v>
      </c>
      <c r="K43" s="36" t="str">
        <f t="shared" ca="1" si="7"/>
        <v>CTn023</v>
      </c>
      <c r="L43" s="36" t="str">
        <f t="shared" ca="1" si="8"/>
        <v>-</v>
      </c>
      <c r="M43" s="47"/>
      <c r="N43"/>
    </row>
    <row r="44" spans="1:14" x14ac:dyDescent="0.2">
      <c r="A44" s="46" t="s">
        <v>20</v>
      </c>
      <c r="B44" s="55">
        <f t="shared" si="15"/>
        <v>24</v>
      </c>
      <c r="C44" s="36" t="str">
        <f t="shared" ca="1" si="9"/>
        <v>CTC_DOUBLE_TRACK</v>
      </c>
      <c r="D44" s="36" t="str">
        <f t="shared" ca="1" si="10"/>
        <v>Signal Head</v>
      </c>
      <c r="E44" s="36" t="str">
        <f t="shared" ca="1" si="11"/>
        <v>Throw</v>
      </c>
      <c r="F44" s="36" t="str">
        <f t="shared" ca="1" si="12"/>
        <v>OUT</v>
      </c>
      <c r="G44" s="36">
        <f t="shared" ca="1" si="13"/>
        <v>0</v>
      </c>
      <c r="H44" s="36" t="str">
        <f t="shared" ca="1" si="14"/>
        <v>CTC_DOUBLE_TRACK:OMW:DBL:HEAD0:YEL</v>
      </c>
      <c r="I44" s="49" t="e">
        <f ca="1">VLOOKUP(Mapping[[#This Row],[Object Name]],PCB_PIN_TABLE,2, FALSE)</f>
        <v>#N/A</v>
      </c>
      <c r="J44" s="36" t="str">
        <f ca="1">_xlfn.CONCAT(Mapping[[#This Row],[Module]], " ", Mapping[[#This Row],[Object Name]])</f>
        <v>CTC_DOUBLE_TRACK CTC_DOUBLE_TRACK:OMW:DBL:HEAD0:YEL</v>
      </c>
      <c r="K44" s="36" t="str">
        <f t="shared" ca="1" si="7"/>
        <v>CTn024</v>
      </c>
      <c r="L44" s="36" t="str">
        <f t="shared" ca="1" si="8"/>
        <v>-</v>
      </c>
      <c r="M44" s="47"/>
      <c r="N44"/>
    </row>
    <row r="45" spans="1:14" x14ac:dyDescent="0.2">
      <c r="A45" s="46" t="s">
        <v>20</v>
      </c>
      <c r="B45" s="55">
        <f t="shared" si="15"/>
        <v>25</v>
      </c>
      <c r="C45" s="36" t="str">
        <f t="shared" ca="1" si="9"/>
        <v>CTC_DOUBLE_TRACK</v>
      </c>
      <c r="D45" s="36" t="str">
        <f t="shared" ca="1" si="10"/>
        <v>Signal Head</v>
      </c>
      <c r="E45" s="36" t="str">
        <f t="shared" ca="1" si="11"/>
        <v>Throw</v>
      </c>
      <c r="F45" s="36" t="str">
        <f t="shared" ca="1" si="12"/>
        <v>OUT</v>
      </c>
      <c r="G45" s="36">
        <f t="shared" ca="1" si="13"/>
        <v>0</v>
      </c>
      <c r="H45" s="36" t="str">
        <f t="shared" ca="1" si="14"/>
        <v>CTC_DOUBLE_TRACK:OMW:DBL:HEAD0:GRN</v>
      </c>
      <c r="I45" s="49" t="e">
        <f ca="1">VLOOKUP(Mapping[[#This Row],[Object Name]],PCB_PIN_TABLE,2, FALSE)</f>
        <v>#N/A</v>
      </c>
      <c r="J45" s="36" t="str">
        <f ca="1">_xlfn.CONCAT(Mapping[[#This Row],[Module]], " ", Mapping[[#This Row],[Object Name]])</f>
        <v>CTC_DOUBLE_TRACK CTC_DOUBLE_TRACK:OMW:DBL:HEAD0:GRN</v>
      </c>
      <c r="K45" s="36" t="str">
        <f t="shared" ca="1" si="7"/>
        <v>CTn025</v>
      </c>
      <c r="L45" s="36" t="str">
        <f t="shared" ca="1" si="8"/>
        <v>-</v>
      </c>
      <c r="M45" s="47"/>
      <c r="N45"/>
    </row>
    <row r="46" spans="1:14" x14ac:dyDescent="0.2">
      <c r="A46" s="46" t="s">
        <v>20</v>
      </c>
      <c r="B46" s="55">
        <f t="shared" si="15"/>
        <v>26</v>
      </c>
      <c r="C46" s="36" t="str">
        <f t="shared" ca="1" si="9"/>
        <v>CTC_DOUBLE_TRACK</v>
      </c>
      <c r="D46" s="36" t="str">
        <f t="shared" ca="1" si="10"/>
        <v>Signal Head</v>
      </c>
      <c r="E46" s="36" t="str">
        <f t="shared" ca="1" si="11"/>
        <v>Throw</v>
      </c>
      <c r="F46" s="36" t="str">
        <f t="shared" ca="1" si="12"/>
        <v>OUT</v>
      </c>
      <c r="G46" s="36">
        <f t="shared" ca="1" si="13"/>
        <v>0</v>
      </c>
      <c r="H46" s="36" t="str">
        <f t="shared" ca="1" si="14"/>
        <v>CTC_DOUBLE_TRACK:OMW:DBL:HEAD1:RED</v>
      </c>
      <c r="I46" s="49" t="e">
        <f ca="1">VLOOKUP(Mapping[[#This Row],[Object Name]],PCB_PIN_TABLE,2, FALSE)</f>
        <v>#N/A</v>
      </c>
      <c r="J46" s="36" t="str">
        <f ca="1">_xlfn.CONCAT(Mapping[[#This Row],[Module]], " ", Mapping[[#This Row],[Object Name]])</f>
        <v>CTC_DOUBLE_TRACK CTC_DOUBLE_TRACK:OMW:DBL:HEAD1:RED</v>
      </c>
      <c r="K46" s="36" t="str">
        <f t="shared" ca="1" si="7"/>
        <v>CTn026</v>
      </c>
      <c r="L46" s="36" t="str">
        <f t="shared" ca="1" si="8"/>
        <v>-</v>
      </c>
      <c r="M46" s="47"/>
      <c r="N46"/>
    </row>
    <row r="47" spans="1:14" x14ac:dyDescent="0.2">
      <c r="A47" s="46" t="s">
        <v>20</v>
      </c>
      <c r="B47" s="55">
        <f t="shared" si="15"/>
        <v>27</v>
      </c>
      <c r="C47" s="36" t="str">
        <f t="shared" ca="1" si="9"/>
        <v>CTC_DOUBLE_TRACK</v>
      </c>
      <c r="D47" s="36" t="str">
        <f t="shared" ca="1" si="10"/>
        <v>Signal Head</v>
      </c>
      <c r="E47" s="36" t="str">
        <f t="shared" ca="1" si="11"/>
        <v>Throw</v>
      </c>
      <c r="F47" s="36" t="str">
        <f t="shared" ca="1" si="12"/>
        <v>OUT</v>
      </c>
      <c r="G47" s="36">
        <f t="shared" ca="1" si="13"/>
        <v>0</v>
      </c>
      <c r="H47" s="36" t="str">
        <f t="shared" ca="1" si="14"/>
        <v>CTC_DOUBLE_TRACK:OMW:DBL:HEAD1:YEL</v>
      </c>
      <c r="I47" s="49" t="e">
        <f ca="1">VLOOKUP(Mapping[[#This Row],[Object Name]],PCB_PIN_TABLE,2, FALSE)</f>
        <v>#N/A</v>
      </c>
      <c r="J47" s="36" t="str">
        <f ca="1">_xlfn.CONCAT(Mapping[[#This Row],[Module]], " ", Mapping[[#This Row],[Object Name]])</f>
        <v>CTC_DOUBLE_TRACK CTC_DOUBLE_TRACK:OMW:DBL:HEAD1:YEL</v>
      </c>
      <c r="K47" s="36" t="str">
        <f t="shared" ca="1" si="7"/>
        <v>CTn027</v>
      </c>
      <c r="L47" s="36" t="str">
        <f t="shared" ca="1" si="8"/>
        <v>-</v>
      </c>
      <c r="M47" s="47"/>
      <c r="N47"/>
    </row>
    <row r="48" spans="1:14" x14ac:dyDescent="0.2">
      <c r="A48" s="46" t="s">
        <v>20</v>
      </c>
      <c r="B48" s="55">
        <f t="shared" si="15"/>
        <v>28</v>
      </c>
      <c r="C48" s="36" t="str">
        <f t="shared" ca="1" si="9"/>
        <v>CTC_DOUBLE_TRACK</v>
      </c>
      <c r="D48" s="36" t="str">
        <f t="shared" ca="1" si="10"/>
        <v>Signal Head</v>
      </c>
      <c r="E48" s="36" t="str">
        <f t="shared" ca="1" si="11"/>
        <v>Throw</v>
      </c>
      <c r="F48" s="36" t="str">
        <f t="shared" ca="1" si="12"/>
        <v>OUT</v>
      </c>
      <c r="G48" s="36">
        <f t="shared" ca="1" si="13"/>
        <v>0</v>
      </c>
      <c r="H48" s="36" t="str">
        <f t="shared" ca="1" si="14"/>
        <v>CTC_DOUBLE_TRACK:OMW:DBL:HEAD1:GRN</v>
      </c>
      <c r="I48" s="49" t="e">
        <f ca="1">VLOOKUP(Mapping[[#This Row],[Object Name]],PCB_PIN_TABLE,2, FALSE)</f>
        <v>#N/A</v>
      </c>
      <c r="J48" s="36" t="str">
        <f ca="1">_xlfn.CONCAT(Mapping[[#This Row],[Module]], " ", Mapping[[#This Row],[Object Name]])</f>
        <v>CTC_DOUBLE_TRACK CTC_DOUBLE_TRACK:OMW:DBL:HEAD1:GRN</v>
      </c>
      <c r="K48" s="36" t="str">
        <f t="shared" ca="1" si="7"/>
        <v>CTn028</v>
      </c>
      <c r="L48" s="36" t="str">
        <f t="shared" ca="1" si="8"/>
        <v>-</v>
      </c>
      <c r="M48" s="47"/>
      <c r="N48"/>
    </row>
    <row r="49" spans="1:14" x14ac:dyDescent="0.2">
      <c r="A49" s="46" t="s">
        <v>20</v>
      </c>
      <c r="B49" s="55">
        <f t="shared" si="15"/>
        <v>29</v>
      </c>
      <c r="C49" s="36" t="str">
        <f t="shared" ca="1" si="9"/>
        <v>Unassigned</v>
      </c>
      <c r="D49" s="36" t="str">
        <f t="shared" ca="1" si="10"/>
        <v>Unassigned</v>
      </c>
      <c r="E49" s="36">
        <f t="shared" ca="1" si="11"/>
        <v>0</v>
      </c>
      <c r="F49" s="36" t="str">
        <f t="shared" ca="1" si="12"/>
        <v>OUT</v>
      </c>
      <c r="G49" s="36">
        <f t="shared" ca="1" si="13"/>
        <v>0</v>
      </c>
      <c r="H49" s="36" t="str">
        <f t="shared" ca="1" si="14"/>
        <v>-</v>
      </c>
      <c r="I49" s="49" t="e">
        <f ca="1">VLOOKUP(Mapping[[#This Row],[Object Name]],PCB_PIN_TABLE,2, FALSE)</f>
        <v>#N/A</v>
      </c>
      <c r="J49" s="36" t="str">
        <f ca="1">_xlfn.CONCAT(Mapping[[#This Row],[Module]], " ", Mapping[[#This Row],[Object Name]])</f>
        <v>Unassigned -</v>
      </c>
      <c r="K49" s="36" t="str">
        <f t="shared" ca="1" si="7"/>
        <v>CTn029</v>
      </c>
      <c r="L49" s="36" t="str">
        <f t="shared" ca="1" si="8"/>
        <v>-</v>
      </c>
      <c r="M49" s="47"/>
      <c r="N49"/>
    </row>
    <row r="50" spans="1:14" x14ac:dyDescent="0.2">
      <c r="A50" s="46" t="s">
        <v>20</v>
      </c>
      <c r="B50" s="55">
        <f t="shared" si="15"/>
        <v>30</v>
      </c>
      <c r="C50" s="36" t="str">
        <f t="shared" ca="1" si="9"/>
        <v>Unassigned</v>
      </c>
      <c r="D50" s="36" t="str">
        <f t="shared" ca="1" si="10"/>
        <v>Unassigned</v>
      </c>
      <c r="E50" s="36">
        <f t="shared" ca="1" si="11"/>
        <v>0</v>
      </c>
      <c r="F50" s="36" t="str">
        <f t="shared" ca="1" si="12"/>
        <v>OUT</v>
      </c>
      <c r="G50" s="36">
        <f t="shared" ca="1" si="13"/>
        <v>0</v>
      </c>
      <c r="H50" s="36" t="str">
        <f t="shared" ca="1" si="14"/>
        <v>-</v>
      </c>
      <c r="I50" s="49" t="e">
        <f ca="1">VLOOKUP(Mapping[[#This Row],[Object Name]],PCB_PIN_TABLE,2, FALSE)</f>
        <v>#N/A</v>
      </c>
      <c r="J50" s="36" t="str">
        <f ca="1">_xlfn.CONCAT(Mapping[[#This Row],[Module]], " ", Mapping[[#This Row],[Object Name]])</f>
        <v>Unassigned -</v>
      </c>
      <c r="K50" s="36" t="str">
        <f t="shared" ca="1" si="7"/>
        <v>CTn030</v>
      </c>
      <c r="L50" s="36" t="str">
        <f t="shared" ca="1" si="8"/>
        <v>-</v>
      </c>
      <c r="M50" s="47"/>
      <c r="N50"/>
    </row>
    <row r="51" spans="1:14" x14ac:dyDescent="0.2">
      <c r="A51" s="46" t="s">
        <v>20</v>
      </c>
      <c r="B51" s="55">
        <f t="shared" si="15"/>
        <v>31</v>
      </c>
      <c r="C51" s="36" t="str">
        <f t="shared" ca="1" si="9"/>
        <v>Unassigned</v>
      </c>
      <c r="D51" s="36" t="str">
        <f t="shared" ca="1" si="10"/>
        <v>Unassigned</v>
      </c>
      <c r="E51" s="36">
        <f t="shared" ca="1" si="11"/>
        <v>0</v>
      </c>
      <c r="F51" s="36" t="str">
        <f t="shared" ca="1" si="12"/>
        <v>OUT</v>
      </c>
      <c r="G51" s="36">
        <f t="shared" ca="1" si="13"/>
        <v>0</v>
      </c>
      <c r="H51" s="36" t="str">
        <f t="shared" ca="1" si="14"/>
        <v>-</v>
      </c>
      <c r="I51" s="49" t="e">
        <f ca="1">VLOOKUP(Mapping[[#This Row],[Object Name]],PCB_PIN_TABLE,2, FALSE)</f>
        <v>#N/A</v>
      </c>
      <c r="J51" s="36" t="str">
        <f ca="1">_xlfn.CONCAT(Mapping[[#This Row],[Module]], " ", Mapping[[#This Row],[Object Name]])</f>
        <v>Unassigned -</v>
      </c>
      <c r="K51" s="36" t="str">
        <f t="shared" ca="1" si="7"/>
        <v>CTn031</v>
      </c>
      <c r="L51" s="36" t="str">
        <f t="shared" ca="1" si="8"/>
        <v>-</v>
      </c>
      <c r="M51" s="47"/>
      <c r="N51"/>
    </row>
    <row r="52" spans="1:14" x14ac:dyDescent="0.2">
      <c r="A52" s="46" t="s">
        <v>20</v>
      </c>
      <c r="B52" s="55">
        <f t="shared" si="15"/>
        <v>32</v>
      </c>
      <c r="C52" s="36" t="str">
        <f t="shared" ca="1" si="9"/>
        <v>Unassigned</v>
      </c>
      <c r="D52" s="36" t="str">
        <f t="shared" ca="1" si="10"/>
        <v>Unassigned</v>
      </c>
      <c r="E52" s="36">
        <f t="shared" ca="1" si="11"/>
        <v>0</v>
      </c>
      <c r="F52" s="36" t="str">
        <f t="shared" ca="1" si="12"/>
        <v>OUT</v>
      </c>
      <c r="G52" s="36">
        <f t="shared" ca="1" si="13"/>
        <v>0</v>
      </c>
      <c r="H52" s="36" t="str">
        <f t="shared" ca="1" si="14"/>
        <v>-</v>
      </c>
      <c r="I52" s="49" t="e">
        <f ca="1">VLOOKUP(Mapping[[#This Row],[Object Name]],PCB_PIN_TABLE,2, FALSE)</f>
        <v>#N/A</v>
      </c>
      <c r="J52" s="36" t="str">
        <f ca="1">_xlfn.CONCAT(Mapping[[#This Row],[Module]], " ", Mapping[[#This Row],[Object Name]])</f>
        <v>Unassigned -</v>
      </c>
      <c r="K52" s="36" t="str">
        <f t="shared" ca="1" si="7"/>
        <v>CTn032</v>
      </c>
      <c r="L52" s="36" t="str">
        <f t="shared" ca="1" si="8"/>
        <v>-</v>
      </c>
      <c r="M52" s="47"/>
      <c r="N52"/>
    </row>
    <row r="53" spans="1:14" x14ac:dyDescent="0.2">
      <c r="A53" s="46" t="s">
        <v>20</v>
      </c>
      <c r="B53" s="55">
        <f t="shared" si="15"/>
        <v>33</v>
      </c>
      <c r="C53" s="36" t="str">
        <f t="shared" ca="1" si="9"/>
        <v>CTC_DOUBLE_TRACK</v>
      </c>
      <c r="D53" s="36" t="str">
        <f t="shared" ca="1" si="10"/>
        <v>Signal Head</v>
      </c>
      <c r="E53" s="36" t="str">
        <f t="shared" ca="1" si="11"/>
        <v>Throw</v>
      </c>
      <c r="F53" s="36" t="str">
        <f t="shared" ca="1" si="12"/>
        <v>OUT</v>
      </c>
      <c r="G53" s="36">
        <f t="shared" ca="1" si="13"/>
        <v>0</v>
      </c>
      <c r="H53" s="36" t="str">
        <f t="shared" ca="1" si="14"/>
        <v>CTC_DOUBLE_TRACK:IME:DBL:HEAD0:RED</v>
      </c>
      <c r="I53" s="49" t="e">
        <f ca="1">VLOOKUP(Mapping[[#This Row],[Object Name]],PCB_PIN_TABLE,2, FALSE)</f>
        <v>#N/A</v>
      </c>
      <c r="J53" s="36" t="str">
        <f ca="1">_xlfn.CONCAT(Mapping[[#This Row],[Module]], " ", Mapping[[#This Row],[Object Name]])</f>
        <v>CTC_DOUBLE_TRACK CTC_DOUBLE_TRACK:IME:DBL:HEAD0:RED</v>
      </c>
      <c r="K53" s="36" t="str">
        <f t="shared" ca="1" si="7"/>
        <v>CTn033</v>
      </c>
      <c r="L53" s="36" t="str">
        <f t="shared" ca="1" si="8"/>
        <v>-</v>
      </c>
      <c r="M53" s="47"/>
      <c r="N53"/>
    </row>
    <row r="54" spans="1:14" x14ac:dyDescent="0.2">
      <c r="A54" s="46" t="s">
        <v>20</v>
      </c>
      <c r="B54" s="55">
        <f t="shared" si="15"/>
        <v>34</v>
      </c>
      <c r="C54" s="36" t="str">
        <f t="shared" ca="1" si="9"/>
        <v>CTC_DOUBLE_TRACK</v>
      </c>
      <c r="D54" s="36" t="str">
        <f t="shared" ca="1" si="10"/>
        <v>Signal Head</v>
      </c>
      <c r="E54" s="36" t="str">
        <f t="shared" ca="1" si="11"/>
        <v>Throw</v>
      </c>
      <c r="F54" s="36" t="str">
        <f t="shared" ca="1" si="12"/>
        <v>OUT</v>
      </c>
      <c r="G54" s="36">
        <f t="shared" ca="1" si="13"/>
        <v>0</v>
      </c>
      <c r="H54" s="36" t="str">
        <f t="shared" ca="1" si="14"/>
        <v>CTC_DOUBLE_TRACK:IME:DBL:HEAD0:YEL</v>
      </c>
      <c r="I54" s="49" t="e">
        <f ca="1">VLOOKUP(Mapping[[#This Row],[Object Name]],PCB_PIN_TABLE,2, FALSE)</f>
        <v>#N/A</v>
      </c>
      <c r="J54" s="36" t="str">
        <f ca="1">_xlfn.CONCAT(Mapping[[#This Row],[Module]], " ", Mapping[[#This Row],[Object Name]])</f>
        <v>CTC_DOUBLE_TRACK CTC_DOUBLE_TRACK:IME:DBL:HEAD0:YEL</v>
      </c>
      <c r="K54" s="36" t="str">
        <f t="shared" ca="1" si="7"/>
        <v>CTn034</v>
      </c>
      <c r="L54" s="36" t="str">
        <f t="shared" ca="1" si="8"/>
        <v>-</v>
      </c>
      <c r="M54" s="47"/>
      <c r="N54"/>
    </row>
    <row r="55" spans="1:14" x14ac:dyDescent="0.2">
      <c r="A55" s="46" t="s">
        <v>20</v>
      </c>
      <c r="B55" s="55">
        <f t="shared" si="15"/>
        <v>35</v>
      </c>
      <c r="C55" s="36" t="str">
        <f t="shared" ca="1" si="9"/>
        <v>CTC_DOUBLE_TRACK</v>
      </c>
      <c r="D55" s="36" t="str">
        <f t="shared" ca="1" si="10"/>
        <v>Signal Head</v>
      </c>
      <c r="E55" s="36" t="str">
        <f t="shared" ca="1" si="11"/>
        <v>Throw</v>
      </c>
      <c r="F55" s="36" t="str">
        <f t="shared" ca="1" si="12"/>
        <v>OUT</v>
      </c>
      <c r="G55" s="36">
        <f t="shared" ca="1" si="13"/>
        <v>0</v>
      </c>
      <c r="H55" s="36" t="str">
        <f t="shared" ca="1" si="14"/>
        <v>CTC_DOUBLE_TRACK:IME:DBL:HEAD0:GRN</v>
      </c>
      <c r="I55" s="49" t="e">
        <f ca="1">VLOOKUP(Mapping[[#This Row],[Object Name]],PCB_PIN_TABLE,2, FALSE)</f>
        <v>#N/A</v>
      </c>
      <c r="J55" s="36" t="str">
        <f ca="1">_xlfn.CONCAT(Mapping[[#This Row],[Module]], " ", Mapping[[#This Row],[Object Name]])</f>
        <v>CTC_DOUBLE_TRACK CTC_DOUBLE_TRACK:IME:DBL:HEAD0:GRN</v>
      </c>
      <c r="K55" s="36" t="str">
        <f t="shared" ca="1" si="7"/>
        <v>CTn035</v>
      </c>
      <c r="L55" s="36" t="str">
        <f t="shared" ca="1" si="8"/>
        <v>-</v>
      </c>
      <c r="M55" s="47"/>
      <c r="N55"/>
    </row>
    <row r="56" spans="1:14" x14ac:dyDescent="0.2">
      <c r="A56" s="46" t="s">
        <v>20</v>
      </c>
      <c r="B56" s="55">
        <f t="shared" si="15"/>
        <v>36</v>
      </c>
      <c r="C56" s="36" t="str">
        <f t="shared" ca="1" si="9"/>
        <v>CTC_DOUBLE_TRACK</v>
      </c>
      <c r="D56" s="36" t="str">
        <f t="shared" ca="1" si="10"/>
        <v>Signal Head</v>
      </c>
      <c r="E56" s="36" t="str">
        <f t="shared" ca="1" si="11"/>
        <v>Throw</v>
      </c>
      <c r="F56" s="36" t="str">
        <f t="shared" ca="1" si="12"/>
        <v>OUT</v>
      </c>
      <c r="G56" s="36">
        <f t="shared" ca="1" si="13"/>
        <v>0</v>
      </c>
      <c r="H56" s="36" t="str">
        <f t="shared" ca="1" si="14"/>
        <v>CTC_DOUBLE_TRACK:IME:DBL:HEAD1:RED</v>
      </c>
      <c r="I56" s="49" t="e">
        <f ca="1">VLOOKUP(Mapping[[#This Row],[Object Name]],PCB_PIN_TABLE,2, FALSE)</f>
        <v>#N/A</v>
      </c>
      <c r="J56" s="36" t="str">
        <f ca="1">_xlfn.CONCAT(Mapping[[#This Row],[Module]], " ", Mapping[[#This Row],[Object Name]])</f>
        <v>CTC_DOUBLE_TRACK CTC_DOUBLE_TRACK:IME:DBL:HEAD1:RED</v>
      </c>
      <c r="K56" s="36" t="str">
        <f t="shared" ca="1" si="7"/>
        <v>CTn036</v>
      </c>
      <c r="L56" s="36" t="str">
        <f t="shared" ca="1" si="8"/>
        <v>-</v>
      </c>
      <c r="M56" s="47"/>
      <c r="N56"/>
    </row>
    <row r="57" spans="1:14" x14ac:dyDescent="0.2">
      <c r="A57" s="46" t="s">
        <v>20</v>
      </c>
      <c r="B57" s="55">
        <f t="shared" si="15"/>
        <v>37</v>
      </c>
      <c r="C57" s="36" t="str">
        <f t="shared" ca="1" si="9"/>
        <v>CTC_DOUBLE_TRACK</v>
      </c>
      <c r="D57" s="36" t="str">
        <f t="shared" ca="1" si="10"/>
        <v>Signal Head</v>
      </c>
      <c r="E57" s="36" t="str">
        <f t="shared" ca="1" si="11"/>
        <v>Throw</v>
      </c>
      <c r="F57" s="36" t="str">
        <f t="shared" ca="1" si="12"/>
        <v>OUT</v>
      </c>
      <c r="G57" s="36">
        <f t="shared" ca="1" si="13"/>
        <v>0</v>
      </c>
      <c r="H57" s="36" t="str">
        <f t="shared" ca="1" si="14"/>
        <v>CTC_DOUBLE_TRACK:IME:DBL:HEAD1:YEL</v>
      </c>
      <c r="I57" s="49" t="e">
        <f ca="1">VLOOKUP(Mapping[[#This Row],[Object Name]],PCB_PIN_TABLE,2, FALSE)</f>
        <v>#N/A</v>
      </c>
      <c r="J57" s="36" t="str">
        <f ca="1">_xlfn.CONCAT(Mapping[[#This Row],[Module]], " ", Mapping[[#This Row],[Object Name]])</f>
        <v>CTC_DOUBLE_TRACK CTC_DOUBLE_TRACK:IME:DBL:HEAD1:YEL</v>
      </c>
      <c r="K57" s="36" t="str">
        <f t="shared" ca="1" si="7"/>
        <v>CSn037</v>
      </c>
      <c r="L57" s="36" t="str">
        <f t="shared" ca="1" si="8"/>
        <v>-</v>
      </c>
      <c r="M57" s="47"/>
      <c r="N57"/>
    </row>
    <row r="58" spans="1:14" x14ac:dyDescent="0.2">
      <c r="A58" s="46" t="s">
        <v>20</v>
      </c>
      <c r="B58" s="55">
        <f t="shared" si="15"/>
        <v>38</v>
      </c>
      <c r="C58" s="36" t="str">
        <f t="shared" ca="1" si="9"/>
        <v>CTC_DOUBLE_TRACK</v>
      </c>
      <c r="D58" s="36" t="str">
        <f t="shared" ca="1" si="10"/>
        <v>Signal Head</v>
      </c>
      <c r="E58" s="36" t="str">
        <f t="shared" ca="1" si="11"/>
        <v>Throw</v>
      </c>
      <c r="F58" s="36" t="str">
        <f t="shared" ca="1" si="12"/>
        <v>OUT</v>
      </c>
      <c r="G58" s="36">
        <f t="shared" ca="1" si="13"/>
        <v>0</v>
      </c>
      <c r="H58" s="36" t="str">
        <f t="shared" ca="1" si="14"/>
        <v>CTC_DOUBLE_TRACK:IME:DBL:HEAD1:GRN</v>
      </c>
      <c r="I58" s="49" t="e">
        <f ca="1">VLOOKUP(Mapping[[#This Row],[Object Name]],PCB_PIN_TABLE,2, FALSE)</f>
        <v>#N/A</v>
      </c>
      <c r="J58" s="36" t="str">
        <f ca="1">_xlfn.CONCAT(Mapping[[#This Row],[Module]], " ", Mapping[[#This Row],[Object Name]])</f>
        <v>CTC_DOUBLE_TRACK CTC_DOUBLE_TRACK:IME:DBL:HEAD1:GRN</v>
      </c>
      <c r="K58" s="36" t="str">
        <f t="shared" ca="1" si="7"/>
        <v>CTn038</v>
      </c>
      <c r="L58" s="36" t="str">
        <f t="shared" ca="1" si="8"/>
        <v>-</v>
      </c>
      <c r="M58" s="47"/>
      <c r="N58"/>
    </row>
    <row r="59" spans="1:14" x14ac:dyDescent="0.2">
      <c r="A59" s="46" t="s">
        <v>20</v>
      </c>
      <c r="B59" s="55">
        <f t="shared" si="15"/>
        <v>39</v>
      </c>
      <c r="C59" s="36" t="str">
        <f t="shared" ca="1" si="9"/>
        <v>CTC_DOUBLE_TRACK</v>
      </c>
      <c r="D59" s="36" t="str">
        <f t="shared" ca="1" si="10"/>
        <v>Signal Head</v>
      </c>
      <c r="E59" s="36" t="str">
        <f t="shared" ca="1" si="11"/>
        <v>Throw</v>
      </c>
      <c r="F59" s="36" t="str">
        <f t="shared" ca="1" si="12"/>
        <v>OUT</v>
      </c>
      <c r="G59" s="36">
        <f t="shared" ca="1" si="13"/>
        <v>0</v>
      </c>
      <c r="H59" s="36" t="str">
        <f t="shared" ca="1" si="14"/>
        <v>CTC_DOUBLE_TRACK:IMW:DBL:HEAD0:RED</v>
      </c>
      <c r="I59" s="49" t="e">
        <f ca="1">VLOOKUP(Mapping[[#This Row],[Object Name]],PCB_PIN_TABLE,2, FALSE)</f>
        <v>#N/A</v>
      </c>
      <c r="J59" s="36" t="str">
        <f ca="1">_xlfn.CONCAT(Mapping[[#This Row],[Module]], " ", Mapping[[#This Row],[Object Name]])</f>
        <v>CTC_DOUBLE_TRACK CTC_DOUBLE_TRACK:IMW:DBL:HEAD0:RED</v>
      </c>
      <c r="K59" s="36" t="str">
        <f t="shared" ca="1" si="7"/>
        <v>CTn039</v>
      </c>
      <c r="L59" s="36" t="str">
        <f t="shared" ca="1" si="8"/>
        <v>-</v>
      </c>
      <c r="M59" s="47"/>
      <c r="N59"/>
    </row>
    <row r="60" spans="1:14" x14ac:dyDescent="0.2">
      <c r="A60" s="46" t="s">
        <v>20</v>
      </c>
      <c r="B60" s="55">
        <f t="shared" si="15"/>
        <v>40</v>
      </c>
      <c r="C60" s="36" t="str">
        <f t="shared" ca="1" si="9"/>
        <v>CTC_DOUBLE_TRACK</v>
      </c>
      <c r="D60" s="36" t="str">
        <f t="shared" ca="1" si="10"/>
        <v>Signal Head</v>
      </c>
      <c r="E60" s="36" t="str">
        <f t="shared" ca="1" si="11"/>
        <v>Throw</v>
      </c>
      <c r="F60" s="36" t="str">
        <f t="shared" ca="1" si="12"/>
        <v>OUT</v>
      </c>
      <c r="G60" s="36">
        <f t="shared" ca="1" si="13"/>
        <v>0</v>
      </c>
      <c r="H60" s="36" t="str">
        <f t="shared" ca="1" si="14"/>
        <v>CTC_DOUBLE_TRACK:IMW:DBL:HEAD0:YEL</v>
      </c>
      <c r="I60" s="49" t="e">
        <f ca="1">VLOOKUP(Mapping[[#This Row],[Object Name]],PCB_PIN_TABLE,2, FALSE)</f>
        <v>#N/A</v>
      </c>
      <c r="J60" s="36" t="str">
        <f ca="1">_xlfn.CONCAT(Mapping[[#This Row],[Module]], " ", Mapping[[#This Row],[Object Name]])</f>
        <v>CTC_DOUBLE_TRACK CTC_DOUBLE_TRACK:IMW:DBL:HEAD0:YEL</v>
      </c>
      <c r="K60" s="36" t="str">
        <f t="shared" ca="1" si="7"/>
        <v>CTn040</v>
      </c>
      <c r="L60" s="36" t="str">
        <f t="shared" ca="1" si="8"/>
        <v>-</v>
      </c>
      <c r="M60" s="47"/>
      <c r="N60"/>
    </row>
    <row r="61" spans="1:14" x14ac:dyDescent="0.2">
      <c r="A61" s="46" t="s">
        <v>20</v>
      </c>
      <c r="B61" s="55">
        <f t="shared" si="15"/>
        <v>41</v>
      </c>
      <c r="C61" s="36" t="str">
        <f t="shared" ca="1" si="9"/>
        <v>CTC_DOUBLE_TRACK</v>
      </c>
      <c r="D61" s="36" t="str">
        <f t="shared" ca="1" si="10"/>
        <v>Signal Head</v>
      </c>
      <c r="E61" s="36" t="str">
        <f t="shared" ca="1" si="11"/>
        <v>Throw</v>
      </c>
      <c r="F61" s="36" t="str">
        <f t="shared" ca="1" si="12"/>
        <v>OUT</v>
      </c>
      <c r="G61" s="36">
        <f t="shared" ca="1" si="13"/>
        <v>0</v>
      </c>
      <c r="H61" s="36" t="str">
        <f t="shared" ca="1" si="14"/>
        <v>CTC_DOUBLE_TRACK:IMW:DBL:HEAD0:GRN</v>
      </c>
      <c r="I61" s="49" t="e">
        <f ca="1">VLOOKUP(Mapping[[#This Row],[Object Name]],PCB_PIN_TABLE,2, FALSE)</f>
        <v>#N/A</v>
      </c>
      <c r="J61" s="36" t="str">
        <f ca="1">_xlfn.CONCAT(Mapping[[#This Row],[Module]], " ", Mapping[[#This Row],[Object Name]])</f>
        <v>CTC_DOUBLE_TRACK CTC_DOUBLE_TRACK:IMW:DBL:HEAD0:GRN</v>
      </c>
      <c r="K61" s="36" t="str">
        <f t="shared" ca="1" si="7"/>
        <v>CTn041</v>
      </c>
      <c r="L61" s="36" t="str">
        <f t="shared" ca="1" si="8"/>
        <v>-</v>
      </c>
      <c r="M61" s="47"/>
      <c r="N61"/>
    </row>
    <row r="62" spans="1:14" x14ac:dyDescent="0.2">
      <c r="A62" s="46" t="s">
        <v>20</v>
      </c>
      <c r="B62" s="55">
        <f t="shared" si="15"/>
        <v>42</v>
      </c>
      <c r="C62" s="36" t="str">
        <f t="shared" ca="1" si="9"/>
        <v>CTC_DOUBLE_TRACK</v>
      </c>
      <c r="D62" s="36" t="str">
        <f t="shared" ca="1" si="10"/>
        <v>Signal Head</v>
      </c>
      <c r="E62" s="36" t="str">
        <f t="shared" ca="1" si="11"/>
        <v>Throw</v>
      </c>
      <c r="F62" s="36" t="str">
        <f t="shared" ca="1" si="12"/>
        <v>OUT</v>
      </c>
      <c r="G62" s="36">
        <f t="shared" ca="1" si="13"/>
        <v>0</v>
      </c>
      <c r="H62" s="36" t="str">
        <f t="shared" ca="1" si="14"/>
        <v>CTC_DOUBLE_TRACK:IMW:DBL:HEAD1:RED</v>
      </c>
      <c r="I62" s="49" t="e">
        <f ca="1">VLOOKUP(Mapping[[#This Row],[Object Name]],PCB_PIN_TABLE,2, FALSE)</f>
        <v>#N/A</v>
      </c>
      <c r="J62" s="36" t="str">
        <f ca="1">_xlfn.CONCAT(Mapping[[#This Row],[Module]], " ", Mapping[[#This Row],[Object Name]])</f>
        <v>CTC_DOUBLE_TRACK CTC_DOUBLE_TRACK:IMW:DBL:HEAD1:RED</v>
      </c>
      <c r="K62" s="36" t="str">
        <f t="shared" ca="1" si="7"/>
        <v>CTn042</v>
      </c>
      <c r="L62" s="36" t="str">
        <f t="shared" ca="1" si="8"/>
        <v>-</v>
      </c>
      <c r="M62" s="47"/>
      <c r="N62"/>
    </row>
    <row r="63" spans="1:14" x14ac:dyDescent="0.2">
      <c r="A63" s="46" t="s">
        <v>20</v>
      </c>
      <c r="B63" s="55">
        <f t="shared" si="15"/>
        <v>43</v>
      </c>
      <c r="C63" s="36" t="str">
        <f t="shared" ca="1" si="9"/>
        <v>CTC_DOUBLE_TRACK</v>
      </c>
      <c r="D63" s="36" t="str">
        <f t="shared" ca="1" si="10"/>
        <v>Signal Head</v>
      </c>
      <c r="E63" s="36" t="str">
        <f t="shared" ca="1" si="11"/>
        <v>Throw</v>
      </c>
      <c r="F63" s="36" t="str">
        <f t="shared" ca="1" si="12"/>
        <v>OUT</v>
      </c>
      <c r="G63" s="36">
        <f t="shared" ca="1" si="13"/>
        <v>0</v>
      </c>
      <c r="H63" s="36" t="str">
        <f t="shared" ca="1" si="14"/>
        <v>CTC_DOUBLE_TRACK:IMW:DBL:HEAD1:YEL</v>
      </c>
      <c r="I63" s="49" t="e">
        <f ca="1">VLOOKUP(Mapping[[#This Row],[Object Name]],PCB_PIN_TABLE,2, FALSE)</f>
        <v>#N/A</v>
      </c>
      <c r="J63" s="36" t="str">
        <f ca="1">_xlfn.CONCAT(Mapping[[#This Row],[Module]], " ", Mapping[[#This Row],[Object Name]])</f>
        <v>CTC_DOUBLE_TRACK CTC_DOUBLE_TRACK:IMW:DBL:HEAD1:YEL</v>
      </c>
      <c r="K63" s="36" t="str">
        <f t="shared" ca="1" si="7"/>
        <v>CTn043</v>
      </c>
      <c r="L63" s="36" t="str">
        <f t="shared" ca="1" si="8"/>
        <v>-</v>
      </c>
      <c r="M63" s="47"/>
      <c r="N63"/>
    </row>
    <row r="64" spans="1:14" x14ac:dyDescent="0.2">
      <c r="A64" s="46" t="s">
        <v>20</v>
      </c>
      <c r="B64" s="55">
        <f t="shared" si="15"/>
        <v>44</v>
      </c>
      <c r="C64" s="36" t="str">
        <f t="shared" ca="1" si="9"/>
        <v>CTC_DOUBLE_TRACK</v>
      </c>
      <c r="D64" s="36" t="str">
        <f t="shared" ca="1" si="10"/>
        <v>Signal Head</v>
      </c>
      <c r="E64" s="36" t="str">
        <f t="shared" ca="1" si="11"/>
        <v>Throw</v>
      </c>
      <c r="F64" s="36" t="str">
        <f t="shared" ca="1" si="12"/>
        <v>OUT</v>
      </c>
      <c r="G64" s="36">
        <f t="shared" ca="1" si="13"/>
        <v>0</v>
      </c>
      <c r="H64" s="36" t="str">
        <f t="shared" ca="1" si="14"/>
        <v>CTC_DOUBLE_TRACK:IMW:DBL:HEAD1:GRN</v>
      </c>
      <c r="I64" s="49" t="e">
        <f ca="1">VLOOKUP(Mapping[[#This Row],[Object Name]],PCB_PIN_TABLE,2, FALSE)</f>
        <v>#N/A</v>
      </c>
      <c r="J64" s="36" t="str">
        <f ca="1">_xlfn.CONCAT(Mapping[[#This Row],[Module]], " ", Mapping[[#This Row],[Object Name]])</f>
        <v>CTC_DOUBLE_TRACK CTC_DOUBLE_TRACK:IMW:DBL:HEAD1:GRN</v>
      </c>
      <c r="K64" s="36" t="str">
        <f t="shared" ca="1" si="7"/>
        <v>CTn044</v>
      </c>
      <c r="L64" s="36" t="str">
        <f t="shared" ca="1" si="8"/>
        <v>-</v>
      </c>
      <c r="M64" s="47"/>
      <c r="N64"/>
    </row>
    <row r="65" spans="1:14" x14ac:dyDescent="0.2">
      <c r="A65" s="46" t="s">
        <v>20</v>
      </c>
      <c r="B65" s="55">
        <f t="shared" si="15"/>
        <v>45</v>
      </c>
      <c r="C65" s="36" t="str">
        <f t="shared" ca="1" si="9"/>
        <v>Unassigned</v>
      </c>
      <c r="D65" s="36" t="str">
        <f t="shared" ca="1" si="10"/>
        <v>Unassigned</v>
      </c>
      <c r="E65" s="36">
        <f t="shared" ca="1" si="11"/>
        <v>0</v>
      </c>
      <c r="F65" s="36" t="str">
        <f t="shared" ca="1" si="12"/>
        <v>OUT</v>
      </c>
      <c r="G65" s="36">
        <f t="shared" ca="1" si="13"/>
        <v>0</v>
      </c>
      <c r="H65" s="36" t="str">
        <f t="shared" ca="1" si="14"/>
        <v>-</v>
      </c>
      <c r="I65" s="49" t="e">
        <f ca="1">VLOOKUP(Mapping[[#This Row],[Object Name]],PCB_PIN_TABLE,2, FALSE)</f>
        <v>#N/A</v>
      </c>
      <c r="J65" s="36" t="str">
        <f ca="1">_xlfn.CONCAT(Mapping[[#This Row],[Module]], " ", Mapping[[#This Row],[Object Name]])</f>
        <v>Unassigned -</v>
      </c>
      <c r="K65" s="36" t="str">
        <f t="shared" ca="1" si="7"/>
        <v>CTn045</v>
      </c>
      <c r="L65" s="36" t="str">
        <f t="shared" ca="1" si="8"/>
        <v>-</v>
      </c>
      <c r="M65" s="47"/>
      <c r="N65"/>
    </row>
    <row r="66" spans="1:14" x14ac:dyDescent="0.2">
      <c r="A66" s="46" t="s">
        <v>20</v>
      </c>
      <c r="B66" s="55">
        <f t="shared" si="15"/>
        <v>46</v>
      </c>
      <c r="C66" s="36" t="str">
        <f t="shared" ca="1" si="9"/>
        <v>Unassigned</v>
      </c>
      <c r="D66" s="36" t="str">
        <f t="shared" ca="1" si="10"/>
        <v>Unassigned</v>
      </c>
      <c r="E66" s="36">
        <f t="shared" ca="1" si="11"/>
        <v>0</v>
      </c>
      <c r="F66" s="36" t="str">
        <f t="shared" ca="1" si="12"/>
        <v>OUT</v>
      </c>
      <c r="G66" s="36">
        <f t="shared" ca="1" si="13"/>
        <v>0</v>
      </c>
      <c r="H66" s="36" t="str">
        <f t="shared" ca="1" si="14"/>
        <v>-</v>
      </c>
      <c r="I66" s="49" t="e">
        <f ca="1">VLOOKUP(Mapping[[#This Row],[Object Name]],PCB_PIN_TABLE,2, FALSE)</f>
        <v>#N/A</v>
      </c>
      <c r="J66" s="36" t="str">
        <f ca="1">_xlfn.CONCAT(Mapping[[#This Row],[Module]], " ", Mapping[[#This Row],[Object Name]])</f>
        <v>Unassigned -</v>
      </c>
      <c r="K66" s="36" t="str">
        <f t="shared" ca="1" si="7"/>
        <v>CTn046</v>
      </c>
      <c r="L66" s="36" t="str">
        <f t="shared" ca="1" si="8"/>
        <v>-</v>
      </c>
      <c r="M66" s="47"/>
      <c r="N66"/>
    </row>
    <row r="67" spans="1:14" x14ac:dyDescent="0.2">
      <c r="A67" s="46" t="s">
        <v>20</v>
      </c>
      <c r="B67" s="55">
        <f t="shared" si="15"/>
        <v>47</v>
      </c>
      <c r="C67" s="36" t="str">
        <f t="shared" ca="1" si="9"/>
        <v>Unassigned</v>
      </c>
      <c r="D67" s="36" t="str">
        <f t="shared" ca="1" si="10"/>
        <v>Unassigned</v>
      </c>
      <c r="E67" s="36">
        <f t="shared" ca="1" si="11"/>
        <v>0</v>
      </c>
      <c r="F67" s="36" t="str">
        <f t="shared" ca="1" si="12"/>
        <v>OUT</v>
      </c>
      <c r="G67" s="36">
        <f t="shared" ca="1" si="13"/>
        <v>0</v>
      </c>
      <c r="H67" s="36" t="str">
        <f t="shared" ca="1" si="14"/>
        <v>-</v>
      </c>
      <c r="I67" s="49" t="e">
        <f ca="1">VLOOKUP(Mapping[[#This Row],[Object Name]],PCB_PIN_TABLE,2, FALSE)</f>
        <v>#N/A</v>
      </c>
      <c r="J67" s="36" t="str">
        <f ca="1">_xlfn.CONCAT(Mapping[[#This Row],[Module]], " ", Mapping[[#This Row],[Object Name]])</f>
        <v>Unassigned -</v>
      </c>
      <c r="K67" s="36" t="str">
        <f t="shared" ca="1" si="7"/>
        <v>CTn047</v>
      </c>
      <c r="L67" s="36" t="str">
        <f t="shared" ca="1" si="8"/>
        <v>-</v>
      </c>
      <c r="M67" s="47"/>
      <c r="N67"/>
    </row>
    <row r="68" spans="1:14" x14ac:dyDescent="0.2">
      <c r="A68" s="46" t="s">
        <v>20</v>
      </c>
      <c r="B68" s="55">
        <f t="shared" si="15"/>
        <v>48</v>
      </c>
      <c r="C68" s="36" t="str">
        <f t="shared" ca="1" si="9"/>
        <v>Unassigned</v>
      </c>
      <c r="D68" s="36" t="str">
        <f t="shared" ca="1" si="10"/>
        <v>Unassigned</v>
      </c>
      <c r="E68" s="36">
        <f t="shared" ca="1" si="11"/>
        <v>0</v>
      </c>
      <c r="F68" s="36" t="str">
        <f t="shared" ca="1" si="12"/>
        <v>OUT</v>
      </c>
      <c r="G68" s="36">
        <f t="shared" ca="1" si="13"/>
        <v>0</v>
      </c>
      <c r="H68" s="36" t="str">
        <f t="shared" ca="1" si="14"/>
        <v>-</v>
      </c>
      <c r="I68" s="49" t="e">
        <f ca="1">VLOOKUP(Mapping[[#This Row],[Object Name]],PCB_PIN_TABLE,2, FALSE)</f>
        <v>#N/A</v>
      </c>
      <c r="J68" s="36" t="str">
        <f ca="1">_xlfn.CONCAT(Mapping[[#This Row],[Module]], " ", Mapping[[#This Row],[Object Name]])</f>
        <v>Unassigned -</v>
      </c>
      <c r="K68" s="36" t="str">
        <f t="shared" ca="1" si="7"/>
        <v>CTn048</v>
      </c>
      <c r="L68" s="36" t="str">
        <f t="shared" ca="1" si="8"/>
        <v>-</v>
      </c>
      <c r="M68" s="47"/>
      <c r="N68"/>
    </row>
    <row r="69" spans="1:14" x14ac:dyDescent="0.2">
      <c r="A69" s="46" t="s">
        <v>25</v>
      </c>
      <c r="B69" s="55">
        <f t="shared" ref="B69:B100" si="16">IF(A68&lt;&gt;A69,1,B68+1)</f>
        <v>1</v>
      </c>
      <c r="C69" s="36" t="str">
        <f t="shared" ca="1" si="9"/>
        <v>CTC_OS_LEFT</v>
      </c>
      <c r="D69" s="36" t="str">
        <f t="shared" ca="1" si="10"/>
        <v>Occupied Report</v>
      </c>
      <c r="E69" s="36" t="str">
        <f t="shared" ca="1" si="11"/>
        <v>Throw</v>
      </c>
      <c r="F69" s="36" t="str">
        <f t="shared" ca="1" si="12"/>
        <v>IN</v>
      </c>
      <c r="G69" s="36">
        <f t="shared" ca="1" si="13"/>
        <v>0</v>
      </c>
      <c r="H69" s="36" t="str">
        <f t="shared" ca="1" si="14"/>
        <v>CTC_OS_LEFT:OME:TS1</v>
      </c>
      <c r="I69" s="49" t="e">
        <f ca="1">VLOOKUP(Mapping[[#This Row],[Object Name]],PCB_PIN_TABLE,2, FALSE)</f>
        <v>#N/A</v>
      </c>
      <c r="J69" s="36" t="str">
        <f ca="1">_xlfn.CONCAT(Mapping[[#This Row],[Module]], " ", Mapping[[#This Row],[Object Name]])</f>
        <v>CTC_OS_LEFT CTC_OS_LEFT:OME:TS1</v>
      </c>
      <c r="K69" s="36" t="str">
        <f t="shared" ref="K69:K132" ca="1" si="17">INDEX(INDIRECT(VLOOKUP(A69,NODE_TABLE,3)),B69,K$3,1)</f>
        <v>CSn001</v>
      </c>
      <c r="L69" s="36" t="str">
        <f t="shared" ref="L69:L132" ca="1" si="18">INDEX(INDIRECT(VLOOKUP(A69,NODE_TABLE,3)),B69,L$3,1)</f>
        <v>-</v>
      </c>
      <c r="M69" s="47"/>
      <c r="N69"/>
    </row>
    <row r="70" spans="1:14" x14ac:dyDescent="0.2">
      <c r="A70" s="46" t="s">
        <v>25</v>
      </c>
      <c r="B70" s="55">
        <f t="shared" si="16"/>
        <v>2</v>
      </c>
      <c r="C70" s="36" t="str">
        <f t="shared" ref="C70:C133" ca="1" si="19">INDEX(INDIRECT(VLOOKUP(A70,NODE_TABLE, 3)),B70,C$3,1)</f>
        <v>CTC_OS_LEFT</v>
      </c>
      <c r="D70" s="36" t="str">
        <f t="shared" ref="D70:D133" ca="1" si="20">INDEX(INDIRECT(VLOOKUP(A70,NODE_TABLE, 3)),B70,D$3,1)</f>
        <v>Occupied Report</v>
      </c>
      <c r="E70" s="36" t="str">
        <f t="shared" ref="E70:E133" ca="1" si="21">INDEX(INDIRECT(VLOOKUP(A70,NODE_TABLE, 3)),B70,E$3,1)</f>
        <v>Throw</v>
      </c>
      <c r="F70" s="36" t="str">
        <f t="shared" ref="F70:F133" ca="1" si="22">INDEX(INDIRECT(VLOOKUP(A70,NODE_TABLE,3)),B70,F$3,1)</f>
        <v>IN</v>
      </c>
      <c r="G70" s="36">
        <f t="shared" ref="G70:G133" ca="1" si="23">INDEX(INDIRECT(VLOOKUP(A70,NODE_TABLE,3)),B70,G$3,1)</f>
        <v>0</v>
      </c>
      <c r="H70" s="36" t="str">
        <f t="shared" ref="H70:H133" ca="1" si="24">INDEX(INDIRECT(VLOOKUP(A70,NODE_TABLE,3)),B70,H$3,1)</f>
        <v>CTC_OS_LEFT:OME:TS2</v>
      </c>
      <c r="I70" s="49" t="e">
        <f ca="1">VLOOKUP(Mapping[[#This Row],[Object Name]],PCB_PIN_TABLE,2, FALSE)</f>
        <v>#N/A</v>
      </c>
      <c r="J70" s="36" t="str">
        <f ca="1">_xlfn.CONCAT(Mapping[[#This Row],[Module]], " ", Mapping[[#This Row],[Object Name]])</f>
        <v>CTC_OS_LEFT CTC_OS_LEFT:OME:TS2</v>
      </c>
      <c r="K70" s="36" t="str">
        <f t="shared" ca="1" si="17"/>
        <v>CSn002</v>
      </c>
      <c r="L70" s="36" t="str">
        <f t="shared" ca="1" si="18"/>
        <v>-</v>
      </c>
      <c r="M70" s="47"/>
      <c r="N70"/>
    </row>
    <row r="71" spans="1:14" x14ac:dyDescent="0.2">
      <c r="A71" s="46" t="s">
        <v>25</v>
      </c>
      <c r="B71" s="55">
        <f t="shared" si="16"/>
        <v>3</v>
      </c>
      <c r="C71" s="36" t="str">
        <f t="shared" ca="1" si="19"/>
        <v>Unassigned</v>
      </c>
      <c r="D71" s="36" t="str">
        <f t="shared" ca="1" si="20"/>
        <v>Unassigned</v>
      </c>
      <c r="E71" s="36">
        <f t="shared" ca="1" si="21"/>
        <v>0</v>
      </c>
      <c r="F71" s="36" t="str">
        <f t="shared" ca="1" si="22"/>
        <v>IN</v>
      </c>
      <c r="G71" s="36">
        <f t="shared" ca="1" si="23"/>
        <v>0</v>
      </c>
      <c r="H71" s="36" t="str">
        <f t="shared" ca="1" si="24"/>
        <v>-</v>
      </c>
      <c r="I71" s="49" t="e">
        <f ca="1">VLOOKUP(Mapping[[#This Row],[Object Name]],PCB_PIN_TABLE,2, FALSE)</f>
        <v>#N/A</v>
      </c>
      <c r="J71" s="36" t="str">
        <f ca="1">_xlfn.CONCAT(Mapping[[#This Row],[Module]], " ", Mapping[[#This Row],[Object Name]])</f>
        <v>Unassigned -</v>
      </c>
      <c r="K71" s="36" t="str">
        <f t="shared" ca="1" si="17"/>
        <v>CSn003</v>
      </c>
      <c r="L71" s="36" t="str">
        <f t="shared" ca="1" si="18"/>
        <v>-</v>
      </c>
      <c r="M71" s="47"/>
      <c r="N71"/>
    </row>
    <row r="72" spans="1:14" x14ac:dyDescent="0.2">
      <c r="A72" s="46" t="s">
        <v>25</v>
      </c>
      <c r="B72" s="55">
        <f t="shared" si="16"/>
        <v>4</v>
      </c>
      <c r="C72" s="36" t="str">
        <f t="shared" ca="1" si="19"/>
        <v>Unassigned</v>
      </c>
      <c r="D72" s="36" t="str">
        <f t="shared" ca="1" si="20"/>
        <v>Unassigned</v>
      </c>
      <c r="E72" s="36">
        <f t="shared" ca="1" si="21"/>
        <v>0</v>
      </c>
      <c r="F72" s="36" t="str">
        <f t="shared" ca="1" si="22"/>
        <v>IN</v>
      </c>
      <c r="G72" s="36">
        <f t="shared" ca="1" si="23"/>
        <v>0</v>
      </c>
      <c r="H72" s="36" t="str">
        <f t="shared" ca="1" si="24"/>
        <v>-</v>
      </c>
      <c r="I72" s="49" t="e">
        <f ca="1">VLOOKUP(Mapping[[#This Row],[Object Name]],PCB_PIN_TABLE,2, FALSE)</f>
        <v>#N/A</v>
      </c>
      <c r="J72" s="36" t="str">
        <f ca="1">_xlfn.CONCAT(Mapping[[#This Row],[Module]], " ", Mapping[[#This Row],[Object Name]])</f>
        <v>Unassigned -</v>
      </c>
      <c r="K72" s="36" t="str">
        <f t="shared" ca="1" si="17"/>
        <v>CSn004</v>
      </c>
      <c r="L72" s="36" t="str">
        <f t="shared" ca="1" si="18"/>
        <v>-</v>
      </c>
      <c r="M72" s="47"/>
      <c r="N72"/>
    </row>
    <row r="73" spans="1:14" x14ac:dyDescent="0.2">
      <c r="A73" s="46" t="s">
        <v>25</v>
      </c>
      <c r="B73" s="55">
        <f t="shared" si="16"/>
        <v>5</v>
      </c>
      <c r="C73" s="36" t="str">
        <f t="shared" ca="1" si="19"/>
        <v>CTC_OS_LEFT</v>
      </c>
      <c r="D73" s="36" t="str">
        <f t="shared" ca="1" si="20"/>
        <v>Occupied Report</v>
      </c>
      <c r="E73" s="36" t="str">
        <f t="shared" ca="1" si="21"/>
        <v>Throw</v>
      </c>
      <c r="F73" s="36" t="str">
        <f t="shared" ca="1" si="22"/>
        <v>IN</v>
      </c>
      <c r="G73" s="36">
        <f t="shared" ca="1" si="23"/>
        <v>0</v>
      </c>
      <c r="H73" s="36" t="str">
        <f t="shared" ca="1" si="24"/>
        <v>CTC_OS_LEFT:IMW:TS1</v>
      </c>
      <c r="I73" s="49" t="e">
        <f ca="1">VLOOKUP(Mapping[[#This Row],[Object Name]],PCB_PIN_TABLE,2, FALSE)</f>
        <v>#N/A</v>
      </c>
      <c r="J73" s="36" t="str">
        <f ca="1">_xlfn.CONCAT(Mapping[[#This Row],[Module]], " ", Mapping[[#This Row],[Object Name]])</f>
        <v>CTC_OS_LEFT CTC_OS_LEFT:IMW:TS1</v>
      </c>
      <c r="K73" s="36" t="str">
        <f t="shared" ca="1" si="17"/>
        <v>CSn005</v>
      </c>
      <c r="L73" s="36" t="str">
        <f t="shared" ca="1" si="18"/>
        <v>-</v>
      </c>
      <c r="M73" s="47"/>
      <c r="N73"/>
    </row>
    <row r="74" spans="1:14" x14ac:dyDescent="0.2">
      <c r="A74" s="46" t="s">
        <v>25</v>
      </c>
      <c r="B74" s="55">
        <f t="shared" si="16"/>
        <v>6</v>
      </c>
      <c r="C74" s="36" t="str">
        <f t="shared" ca="1" si="19"/>
        <v>CTC_OS_LEFT</v>
      </c>
      <c r="D74" s="36" t="str">
        <f t="shared" ca="1" si="20"/>
        <v>Occupied Report</v>
      </c>
      <c r="E74" s="36" t="str">
        <f t="shared" ca="1" si="21"/>
        <v>Throw</v>
      </c>
      <c r="F74" s="36" t="str">
        <f t="shared" ca="1" si="22"/>
        <v>IN</v>
      </c>
      <c r="G74" s="36">
        <f t="shared" ca="1" si="23"/>
        <v>0</v>
      </c>
      <c r="H74" s="36" t="str">
        <f t="shared" ca="1" si="24"/>
        <v>CTC_OS_LEFT:IMW:TS2</v>
      </c>
      <c r="I74" s="49" t="e">
        <f ca="1">VLOOKUP(Mapping[[#This Row],[Object Name]],PCB_PIN_TABLE,2, FALSE)</f>
        <v>#N/A</v>
      </c>
      <c r="J74" s="36" t="str">
        <f ca="1">_xlfn.CONCAT(Mapping[[#This Row],[Module]], " ", Mapping[[#This Row],[Object Name]])</f>
        <v>CTC_OS_LEFT CTC_OS_LEFT:IMW:TS2</v>
      </c>
      <c r="K74" s="36" t="str">
        <f t="shared" ca="1" si="17"/>
        <v>CSn006</v>
      </c>
      <c r="L74" s="36" t="str">
        <f t="shared" ca="1" si="18"/>
        <v>-</v>
      </c>
      <c r="M74" s="47"/>
      <c r="N74"/>
    </row>
    <row r="75" spans="1:14" x14ac:dyDescent="0.2">
      <c r="A75" s="46" t="s">
        <v>25</v>
      </c>
      <c r="B75" s="55">
        <f t="shared" si="16"/>
        <v>7</v>
      </c>
      <c r="C75" s="36" t="str">
        <f t="shared" ca="1" si="19"/>
        <v>Unassigned</v>
      </c>
      <c r="D75" s="36" t="str">
        <f t="shared" ca="1" si="20"/>
        <v>Unassigned</v>
      </c>
      <c r="E75" s="36">
        <f t="shared" ca="1" si="21"/>
        <v>0</v>
      </c>
      <c r="F75" s="36" t="str">
        <f t="shared" ca="1" si="22"/>
        <v>IN</v>
      </c>
      <c r="G75" s="36">
        <f t="shared" ca="1" si="23"/>
        <v>0</v>
      </c>
      <c r="H75" s="36" t="str">
        <f t="shared" ca="1" si="24"/>
        <v>-</v>
      </c>
      <c r="I75" s="49" t="e">
        <f ca="1">VLOOKUP(Mapping[[#This Row],[Object Name]],PCB_PIN_TABLE,2, FALSE)</f>
        <v>#N/A</v>
      </c>
      <c r="J75" s="36" t="str">
        <f ca="1">_xlfn.CONCAT(Mapping[[#This Row],[Module]], " ", Mapping[[#This Row],[Object Name]])</f>
        <v>Unassigned -</v>
      </c>
      <c r="K75" s="36" t="str">
        <f t="shared" ca="1" si="17"/>
        <v>CSn007</v>
      </c>
      <c r="L75" s="36" t="str">
        <f t="shared" ca="1" si="18"/>
        <v>-</v>
      </c>
      <c r="M75" s="47"/>
      <c r="N75"/>
    </row>
    <row r="76" spans="1:14" x14ac:dyDescent="0.2">
      <c r="A76" s="46" t="s">
        <v>25</v>
      </c>
      <c r="B76" s="55">
        <f t="shared" si="16"/>
        <v>8</v>
      </c>
      <c r="C76" s="36" t="str">
        <f t="shared" ca="1" si="19"/>
        <v>Unassigned</v>
      </c>
      <c r="D76" s="36" t="str">
        <f t="shared" ca="1" si="20"/>
        <v>Unassigned</v>
      </c>
      <c r="E76" s="36">
        <f t="shared" ca="1" si="21"/>
        <v>0</v>
      </c>
      <c r="F76" s="36" t="str">
        <f t="shared" ca="1" si="22"/>
        <v>IN</v>
      </c>
      <c r="G76" s="36">
        <f t="shared" ca="1" si="23"/>
        <v>0</v>
      </c>
      <c r="H76" s="36" t="str">
        <f t="shared" ca="1" si="24"/>
        <v>-</v>
      </c>
      <c r="I76" s="49" t="e">
        <f ca="1">VLOOKUP(Mapping[[#This Row],[Object Name]],PCB_PIN_TABLE,2, FALSE)</f>
        <v>#N/A</v>
      </c>
      <c r="J76" s="36" t="str">
        <f ca="1">_xlfn.CONCAT(Mapping[[#This Row],[Module]], " ", Mapping[[#This Row],[Object Name]])</f>
        <v>Unassigned -</v>
      </c>
      <c r="K76" s="36" t="str">
        <f t="shared" ca="1" si="17"/>
        <v>CSn008</v>
      </c>
      <c r="L76" s="36" t="str">
        <f t="shared" ca="1" si="18"/>
        <v>-</v>
      </c>
      <c r="M76" s="47"/>
      <c r="N76"/>
    </row>
    <row r="77" spans="1:14" x14ac:dyDescent="0.2">
      <c r="A77" s="46" t="s">
        <v>25</v>
      </c>
      <c r="B77" s="55">
        <f t="shared" si="16"/>
        <v>9</v>
      </c>
      <c r="C77" s="36" t="str">
        <f t="shared" ca="1" si="19"/>
        <v>CTC_OS_LEFT</v>
      </c>
      <c r="D77" s="36" t="str">
        <f t="shared" ca="1" si="20"/>
        <v>Route Selected Report</v>
      </c>
      <c r="E77" s="36" t="str">
        <f t="shared" ca="1" si="21"/>
        <v>Close</v>
      </c>
      <c r="F77" s="36" t="str">
        <f t="shared" ca="1" si="22"/>
        <v>IN</v>
      </c>
      <c r="G77" s="36">
        <f t="shared" ca="1" si="23"/>
        <v>0</v>
      </c>
      <c r="H77" s="36" t="str">
        <f t="shared" ca="1" si="24"/>
        <v>CTC_OS_LEFT:TO_RSR</v>
      </c>
      <c r="I77" s="49" t="e">
        <f ca="1">VLOOKUP(Mapping[[#This Row],[Object Name]],PCB_PIN_TABLE,2, FALSE)</f>
        <v>#N/A</v>
      </c>
      <c r="J77" s="36" t="str">
        <f ca="1">_xlfn.CONCAT(Mapping[[#This Row],[Module]], " ", Mapping[[#This Row],[Object Name]])</f>
        <v>CTC_OS_LEFT CTC_OS_LEFT:TO_RSR</v>
      </c>
      <c r="K77" s="36" t="str">
        <f t="shared" ca="1" si="17"/>
        <v>CSn009</v>
      </c>
      <c r="L77" s="36" t="str">
        <f t="shared" ca="1" si="18"/>
        <v>-</v>
      </c>
      <c r="M77" s="47"/>
      <c r="N77"/>
    </row>
    <row r="78" spans="1:14" x14ac:dyDescent="0.2">
      <c r="A78" s="46" t="s">
        <v>25</v>
      </c>
      <c r="B78" s="55">
        <f t="shared" si="16"/>
        <v>10</v>
      </c>
      <c r="C78" s="36" t="str">
        <f t="shared" ca="1" si="19"/>
        <v>CTC_OS_LEFT</v>
      </c>
      <c r="D78" s="36" t="str">
        <f t="shared" ca="1" si="20"/>
        <v>Route Unselected Report</v>
      </c>
      <c r="E78" s="36" t="str">
        <f t="shared" ca="1" si="21"/>
        <v>Close</v>
      </c>
      <c r="F78" s="36" t="str">
        <f t="shared" ca="1" si="22"/>
        <v>IN</v>
      </c>
      <c r="G78" s="36">
        <f t="shared" ca="1" si="23"/>
        <v>0</v>
      </c>
      <c r="H78" s="36" t="str">
        <f t="shared" ca="1" si="24"/>
        <v>CTC_OS_LEFT:TO_RUR</v>
      </c>
      <c r="I78" s="49" t="e">
        <f ca="1">VLOOKUP(Mapping[[#This Row],[Object Name]],PCB_PIN_TABLE,2, FALSE)</f>
        <v>#N/A</v>
      </c>
      <c r="J78" s="36" t="str">
        <f ca="1">_xlfn.CONCAT(Mapping[[#This Row],[Module]], " ", Mapping[[#This Row],[Object Name]])</f>
        <v>CTC_OS_LEFT CTC_OS_LEFT:TO_RUR</v>
      </c>
      <c r="K78" s="36" t="str">
        <f t="shared" ca="1" si="17"/>
        <v>CSn010</v>
      </c>
      <c r="L78" s="36" t="str">
        <f t="shared" ca="1" si="18"/>
        <v>-</v>
      </c>
      <c r="M78" s="47"/>
      <c r="N78"/>
    </row>
    <row r="79" spans="1:14" x14ac:dyDescent="0.2">
      <c r="A79" s="46" t="s">
        <v>25</v>
      </c>
      <c r="B79" s="55">
        <f t="shared" si="16"/>
        <v>11</v>
      </c>
      <c r="C79" s="36" t="str">
        <f t="shared" ca="1" si="19"/>
        <v>Unassigned</v>
      </c>
      <c r="D79" s="36" t="str">
        <f t="shared" ca="1" si="20"/>
        <v>Unassigned</v>
      </c>
      <c r="E79" s="36">
        <f t="shared" ca="1" si="21"/>
        <v>0</v>
      </c>
      <c r="F79" s="36" t="str">
        <f t="shared" ca="1" si="22"/>
        <v>IN</v>
      </c>
      <c r="G79" s="36">
        <f t="shared" ca="1" si="23"/>
        <v>0</v>
      </c>
      <c r="H79" s="36" t="str">
        <f t="shared" ca="1" si="24"/>
        <v>-</v>
      </c>
      <c r="I79" s="49" t="e">
        <f ca="1">VLOOKUP(Mapping[[#This Row],[Object Name]],PCB_PIN_TABLE,2, FALSE)</f>
        <v>#N/A</v>
      </c>
      <c r="J79" s="36" t="str">
        <f ca="1">_xlfn.CONCAT(Mapping[[#This Row],[Module]], " ", Mapping[[#This Row],[Object Name]])</f>
        <v>Unassigned -</v>
      </c>
      <c r="K79" s="36" t="str">
        <f t="shared" ca="1" si="17"/>
        <v>CSn011</v>
      </c>
      <c r="L79" s="36" t="str">
        <f t="shared" ca="1" si="18"/>
        <v>-</v>
      </c>
      <c r="M79" s="47"/>
      <c r="N79"/>
    </row>
    <row r="80" spans="1:14" x14ac:dyDescent="0.2">
      <c r="A80" s="46" t="s">
        <v>25</v>
      </c>
      <c r="B80" s="55">
        <f t="shared" si="16"/>
        <v>12</v>
      </c>
      <c r="C80" s="36" t="str">
        <f t="shared" ca="1" si="19"/>
        <v>Unassigned</v>
      </c>
      <c r="D80" s="36" t="str">
        <f t="shared" ca="1" si="20"/>
        <v>Unassigned</v>
      </c>
      <c r="E80" s="36">
        <f t="shared" ca="1" si="21"/>
        <v>0</v>
      </c>
      <c r="F80" s="36" t="str">
        <f t="shared" ca="1" si="22"/>
        <v>IN</v>
      </c>
      <c r="G80" s="36">
        <f t="shared" ca="1" si="23"/>
        <v>0</v>
      </c>
      <c r="H80" s="36" t="str">
        <f t="shared" ca="1" si="24"/>
        <v>-</v>
      </c>
      <c r="I80" s="49" t="e">
        <f ca="1">VLOOKUP(Mapping[[#This Row],[Object Name]],PCB_PIN_TABLE,2, FALSE)</f>
        <v>#N/A</v>
      </c>
      <c r="J80" s="36" t="str">
        <f ca="1">_xlfn.CONCAT(Mapping[[#This Row],[Module]], " ", Mapping[[#This Row],[Object Name]])</f>
        <v>Unassigned -</v>
      </c>
      <c r="K80" s="36" t="str">
        <f t="shared" ca="1" si="17"/>
        <v>CSn012</v>
      </c>
      <c r="L80" s="36" t="str">
        <f t="shared" ca="1" si="18"/>
        <v>-</v>
      </c>
      <c r="M80" s="47"/>
      <c r="N80"/>
    </row>
    <row r="81" spans="1:14" x14ac:dyDescent="0.2">
      <c r="A81" s="46" t="s">
        <v>25</v>
      </c>
      <c r="B81" s="55">
        <f t="shared" si="16"/>
        <v>13</v>
      </c>
      <c r="C81" s="36" t="str">
        <f t="shared" ca="1" si="19"/>
        <v>Unassigned</v>
      </c>
      <c r="D81" s="36" t="str">
        <f t="shared" ca="1" si="20"/>
        <v>Unassigned</v>
      </c>
      <c r="E81" s="36">
        <f t="shared" ca="1" si="21"/>
        <v>0</v>
      </c>
      <c r="F81" s="36" t="str">
        <f t="shared" ca="1" si="22"/>
        <v>IN</v>
      </c>
      <c r="G81" s="36">
        <f t="shared" ca="1" si="23"/>
        <v>0</v>
      </c>
      <c r="H81" s="36" t="str">
        <f t="shared" ca="1" si="24"/>
        <v>-</v>
      </c>
      <c r="I81" s="49" t="e">
        <f ca="1">VLOOKUP(Mapping[[#This Row],[Object Name]],PCB_PIN_TABLE,2, FALSE)</f>
        <v>#N/A</v>
      </c>
      <c r="J81" s="36" t="str">
        <f ca="1">_xlfn.CONCAT(Mapping[[#This Row],[Module]], " ", Mapping[[#This Row],[Object Name]])</f>
        <v>Unassigned -</v>
      </c>
      <c r="K81" s="36" t="str">
        <f t="shared" ca="1" si="17"/>
        <v>CSn013</v>
      </c>
      <c r="L81" s="36" t="str">
        <f t="shared" ca="1" si="18"/>
        <v>-</v>
      </c>
      <c r="M81" s="47"/>
      <c r="N81"/>
    </row>
    <row r="82" spans="1:14" x14ac:dyDescent="0.2">
      <c r="A82" s="46" t="s">
        <v>25</v>
      </c>
      <c r="B82" s="55">
        <f t="shared" si="16"/>
        <v>14</v>
      </c>
      <c r="C82" s="36" t="str">
        <f t="shared" ca="1" si="19"/>
        <v>Unassigned</v>
      </c>
      <c r="D82" s="36" t="str">
        <f t="shared" ca="1" si="20"/>
        <v>Unassigned</v>
      </c>
      <c r="E82" s="36">
        <f t="shared" ca="1" si="21"/>
        <v>0</v>
      </c>
      <c r="F82" s="36" t="str">
        <f t="shared" ca="1" si="22"/>
        <v>IN</v>
      </c>
      <c r="G82" s="36">
        <f t="shared" ca="1" si="23"/>
        <v>0</v>
      </c>
      <c r="H82" s="36" t="str">
        <f t="shared" ca="1" si="24"/>
        <v>-</v>
      </c>
      <c r="I82" s="49" t="e">
        <f ca="1">VLOOKUP(Mapping[[#This Row],[Object Name]],PCB_PIN_TABLE,2, FALSE)</f>
        <v>#N/A</v>
      </c>
      <c r="J82" s="36" t="str">
        <f ca="1">_xlfn.CONCAT(Mapping[[#This Row],[Module]], " ", Mapping[[#This Row],[Object Name]])</f>
        <v>Unassigned -</v>
      </c>
      <c r="K82" s="36" t="str">
        <f t="shared" ca="1" si="17"/>
        <v>CSn014</v>
      </c>
      <c r="L82" s="36" t="str">
        <f t="shared" ca="1" si="18"/>
        <v>-</v>
      </c>
      <c r="M82" s="47"/>
      <c r="N82"/>
    </row>
    <row r="83" spans="1:14" x14ac:dyDescent="0.2">
      <c r="A83" s="46" t="s">
        <v>25</v>
      </c>
      <c r="B83" s="55">
        <f t="shared" si="16"/>
        <v>15</v>
      </c>
      <c r="C83" s="36" t="str">
        <f t="shared" ca="1" si="19"/>
        <v>Unassigned</v>
      </c>
      <c r="D83" s="36" t="str">
        <f t="shared" ca="1" si="20"/>
        <v>Unassigned</v>
      </c>
      <c r="E83" s="36">
        <f t="shared" ca="1" si="21"/>
        <v>0</v>
      </c>
      <c r="F83" s="36" t="str">
        <f t="shared" ca="1" si="22"/>
        <v>IN</v>
      </c>
      <c r="G83" s="36">
        <f t="shared" ca="1" si="23"/>
        <v>0</v>
      </c>
      <c r="H83" s="36" t="str">
        <f t="shared" ca="1" si="24"/>
        <v>-</v>
      </c>
      <c r="I83" s="49" t="e">
        <f ca="1">VLOOKUP(Mapping[[#This Row],[Object Name]],PCB_PIN_TABLE,2, FALSE)</f>
        <v>#N/A</v>
      </c>
      <c r="J83" s="36" t="str">
        <f ca="1">_xlfn.CONCAT(Mapping[[#This Row],[Module]], " ", Mapping[[#This Row],[Object Name]])</f>
        <v>Unassigned -</v>
      </c>
      <c r="K83" s="36" t="str">
        <f t="shared" ca="1" si="17"/>
        <v>CSn015</v>
      </c>
      <c r="L83" s="36" t="str">
        <f t="shared" ca="1" si="18"/>
        <v>-</v>
      </c>
      <c r="M83" s="47"/>
      <c r="N83"/>
    </row>
    <row r="84" spans="1:14" x14ac:dyDescent="0.2">
      <c r="A84" s="46" t="s">
        <v>25</v>
      </c>
      <c r="B84" s="55">
        <f t="shared" si="16"/>
        <v>16</v>
      </c>
      <c r="C84" s="36" t="str">
        <f t="shared" ca="1" si="19"/>
        <v>Unassigned</v>
      </c>
      <c r="D84" s="36" t="str">
        <f t="shared" ca="1" si="20"/>
        <v>Unassigned</v>
      </c>
      <c r="E84" s="36">
        <f t="shared" ca="1" si="21"/>
        <v>0</v>
      </c>
      <c r="F84" s="36" t="str">
        <f t="shared" ca="1" si="22"/>
        <v>IN</v>
      </c>
      <c r="G84" s="36">
        <f t="shared" ca="1" si="23"/>
        <v>0</v>
      </c>
      <c r="H84" s="36" t="str">
        <f t="shared" ca="1" si="24"/>
        <v>-</v>
      </c>
      <c r="I84" s="49" t="e">
        <f ca="1">VLOOKUP(Mapping[[#This Row],[Object Name]],PCB_PIN_TABLE,2, FALSE)</f>
        <v>#N/A</v>
      </c>
      <c r="J84" s="36" t="str">
        <f ca="1">_xlfn.CONCAT(Mapping[[#This Row],[Module]], " ", Mapping[[#This Row],[Object Name]])</f>
        <v>Unassigned -</v>
      </c>
      <c r="K84" s="36" t="str">
        <f t="shared" ca="1" si="17"/>
        <v>CSn016</v>
      </c>
      <c r="L84" s="36" t="str">
        <f t="shared" ca="1" si="18"/>
        <v>-</v>
      </c>
      <c r="M84" s="47"/>
      <c r="N84"/>
    </row>
    <row r="85" spans="1:14" x14ac:dyDescent="0.2">
      <c r="A85" s="46" t="s">
        <v>25</v>
      </c>
      <c r="B85" s="55">
        <f t="shared" si="16"/>
        <v>17</v>
      </c>
      <c r="C85" s="36" t="str">
        <f t="shared" ca="1" si="19"/>
        <v>CTC_OS_LEFT</v>
      </c>
      <c r="D85" s="36" t="str">
        <f t="shared" ca="1" si="20"/>
        <v>Signal Head</v>
      </c>
      <c r="E85" s="36" t="str">
        <f t="shared" ca="1" si="21"/>
        <v>Throw</v>
      </c>
      <c r="F85" s="36" t="str">
        <f t="shared" ca="1" si="22"/>
        <v>OUT</v>
      </c>
      <c r="G85" s="36">
        <f t="shared" ca="1" si="23"/>
        <v>0</v>
      </c>
      <c r="H85" s="36" t="str">
        <f t="shared" ca="1" si="24"/>
        <v>CTC_OS_LEFT:OME:DBL:HEAD0:RED</v>
      </c>
      <c r="I85" s="49" t="e">
        <f ca="1">VLOOKUP(Mapping[[#This Row],[Object Name]],PCB_PIN_TABLE,2, FALSE)</f>
        <v>#N/A</v>
      </c>
      <c r="J85" s="36" t="str">
        <f ca="1">_xlfn.CONCAT(Mapping[[#This Row],[Module]], " ", Mapping[[#This Row],[Object Name]])</f>
        <v>CTC_OS_LEFT CTC_OS_LEFT:OME:DBL:HEAD0:RED</v>
      </c>
      <c r="K85" s="36" t="str">
        <f t="shared" ca="1" si="17"/>
        <v>CTn017</v>
      </c>
      <c r="L85" s="36" t="str">
        <f t="shared" ca="1" si="18"/>
        <v>-</v>
      </c>
      <c r="M85" s="47"/>
      <c r="N85"/>
    </row>
    <row r="86" spans="1:14" x14ac:dyDescent="0.2">
      <c r="A86" s="46" t="s">
        <v>25</v>
      </c>
      <c r="B86" s="55">
        <f t="shared" si="16"/>
        <v>18</v>
      </c>
      <c r="C86" s="36" t="str">
        <f t="shared" ca="1" si="19"/>
        <v>CTC_OS_LEFT</v>
      </c>
      <c r="D86" s="36" t="str">
        <f t="shared" ca="1" si="20"/>
        <v>Signal Head</v>
      </c>
      <c r="E86" s="36" t="str">
        <f t="shared" ca="1" si="21"/>
        <v>Throw</v>
      </c>
      <c r="F86" s="36" t="str">
        <f t="shared" ca="1" si="22"/>
        <v>OUT</v>
      </c>
      <c r="G86" s="36">
        <f t="shared" ca="1" si="23"/>
        <v>0</v>
      </c>
      <c r="H86" s="36" t="str">
        <f t="shared" ca="1" si="24"/>
        <v>CTC_OS_LEFT:OME:DBL:HEAD0:YEL</v>
      </c>
      <c r="I86" s="49" t="e">
        <f ca="1">VLOOKUP(Mapping[[#This Row],[Object Name]],PCB_PIN_TABLE,2, FALSE)</f>
        <v>#N/A</v>
      </c>
      <c r="J86" s="36" t="str">
        <f ca="1">_xlfn.CONCAT(Mapping[[#This Row],[Module]], " ", Mapping[[#This Row],[Object Name]])</f>
        <v>CTC_OS_LEFT CTC_OS_LEFT:OME:DBL:HEAD0:YEL</v>
      </c>
      <c r="K86" s="36" t="str">
        <f t="shared" ca="1" si="17"/>
        <v>CTn018</v>
      </c>
      <c r="L86" s="36" t="str">
        <f t="shared" ca="1" si="18"/>
        <v>-</v>
      </c>
      <c r="M86" s="47"/>
      <c r="N86"/>
    </row>
    <row r="87" spans="1:14" x14ac:dyDescent="0.2">
      <c r="A87" s="46" t="s">
        <v>25</v>
      </c>
      <c r="B87" s="55">
        <f t="shared" si="16"/>
        <v>19</v>
      </c>
      <c r="C87" s="36" t="str">
        <f t="shared" ca="1" si="19"/>
        <v>CTC_OS_LEFT</v>
      </c>
      <c r="D87" s="36" t="str">
        <f t="shared" ca="1" si="20"/>
        <v>Signal Head</v>
      </c>
      <c r="E87" s="36" t="str">
        <f t="shared" ca="1" si="21"/>
        <v>Throw</v>
      </c>
      <c r="F87" s="36" t="str">
        <f t="shared" ca="1" si="22"/>
        <v>OUT</v>
      </c>
      <c r="G87" s="36">
        <f t="shared" ca="1" si="23"/>
        <v>0</v>
      </c>
      <c r="H87" s="36" t="str">
        <f t="shared" ca="1" si="24"/>
        <v>CTC_OS_LEFT:OME:DBL:HEAD0:GRN</v>
      </c>
      <c r="I87" s="49" t="e">
        <f ca="1">VLOOKUP(Mapping[[#This Row],[Object Name]],PCB_PIN_TABLE,2, FALSE)</f>
        <v>#N/A</v>
      </c>
      <c r="J87" s="36" t="str">
        <f ca="1">_xlfn.CONCAT(Mapping[[#This Row],[Module]], " ", Mapping[[#This Row],[Object Name]])</f>
        <v>CTC_OS_LEFT CTC_OS_LEFT:OME:DBL:HEAD0:GRN</v>
      </c>
      <c r="K87" s="36" t="str">
        <f t="shared" ca="1" si="17"/>
        <v>CTn019</v>
      </c>
      <c r="L87" s="36" t="str">
        <f t="shared" ca="1" si="18"/>
        <v>-</v>
      </c>
      <c r="M87" s="47"/>
      <c r="N87"/>
    </row>
    <row r="88" spans="1:14" x14ac:dyDescent="0.2">
      <c r="A88" s="46" t="s">
        <v>25</v>
      </c>
      <c r="B88" s="55">
        <f t="shared" si="16"/>
        <v>20</v>
      </c>
      <c r="C88" s="36" t="str">
        <f t="shared" ca="1" si="19"/>
        <v>CTC_OS_LEFT</v>
      </c>
      <c r="D88" s="36" t="str">
        <f t="shared" ca="1" si="20"/>
        <v>Signal Head</v>
      </c>
      <c r="E88" s="36" t="str">
        <f t="shared" ca="1" si="21"/>
        <v>Throw</v>
      </c>
      <c r="F88" s="36" t="str">
        <f t="shared" ca="1" si="22"/>
        <v>OUT</v>
      </c>
      <c r="G88" s="36">
        <f t="shared" ca="1" si="23"/>
        <v>0</v>
      </c>
      <c r="H88" s="36" t="str">
        <f t="shared" ca="1" si="24"/>
        <v>CTC_OS_LEFT:OME:DBL:HEAD1:RED</v>
      </c>
      <c r="I88" s="49" t="e">
        <f ca="1">VLOOKUP(Mapping[[#This Row],[Object Name]],PCB_PIN_TABLE,2, FALSE)</f>
        <v>#N/A</v>
      </c>
      <c r="J88" s="36" t="str">
        <f ca="1">_xlfn.CONCAT(Mapping[[#This Row],[Module]], " ", Mapping[[#This Row],[Object Name]])</f>
        <v>CTC_OS_LEFT CTC_OS_LEFT:OME:DBL:HEAD1:RED</v>
      </c>
      <c r="K88" s="36" t="str">
        <f t="shared" ca="1" si="17"/>
        <v>CTn020</v>
      </c>
      <c r="L88" s="36" t="str">
        <f t="shared" ca="1" si="18"/>
        <v>-</v>
      </c>
      <c r="M88" s="47"/>
      <c r="N88"/>
    </row>
    <row r="89" spans="1:14" x14ac:dyDescent="0.2">
      <c r="A89" s="46" t="s">
        <v>25</v>
      </c>
      <c r="B89" s="55">
        <f t="shared" si="16"/>
        <v>21</v>
      </c>
      <c r="C89" s="36" t="str">
        <f t="shared" ca="1" si="19"/>
        <v>CTC_OS_LEFT</v>
      </c>
      <c r="D89" s="36" t="str">
        <f t="shared" ca="1" si="20"/>
        <v>Signal Head</v>
      </c>
      <c r="E89" s="36" t="str">
        <f t="shared" ca="1" si="21"/>
        <v>Throw</v>
      </c>
      <c r="F89" s="36" t="str">
        <f t="shared" ca="1" si="22"/>
        <v>OUT</v>
      </c>
      <c r="G89" s="36">
        <f t="shared" ca="1" si="23"/>
        <v>0</v>
      </c>
      <c r="H89" s="36" t="str">
        <f t="shared" ca="1" si="24"/>
        <v>CTC_OS_LEFT:OME:DBL:HEAD1:YEL</v>
      </c>
      <c r="I89" s="49" t="e">
        <f ca="1">VLOOKUP(Mapping[[#This Row],[Object Name]],PCB_PIN_TABLE,2, FALSE)</f>
        <v>#N/A</v>
      </c>
      <c r="J89" s="36" t="str">
        <f ca="1">_xlfn.CONCAT(Mapping[[#This Row],[Module]], " ", Mapping[[#This Row],[Object Name]])</f>
        <v>CTC_OS_LEFT CTC_OS_LEFT:OME:DBL:HEAD1:YEL</v>
      </c>
      <c r="K89" s="36" t="str">
        <f t="shared" ca="1" si="17"/>
        <v>CTn021</v>
      </c>
      <c r="L89" s="36" t="str">
        <f t="shared" ca="1" si="18"/>
        <v>-</v>
      </c>
      <c r="M89" s="47"/>
      <c r="N89"/>
    </row>
    <row r="90" spans="1:14" x14ac:dyDescent="0.2">
      <c r="A90" s="46" t="s">
        <v>25</v>
      </c>
      <c r="B90" s="55">
        <f t="shared" si="16"/>
        <v>22</v>
      </c>
      <c r="C90" s="36" t="str">
        <f t="shared" ca="1" si="19"/>
        <v>CTC_OS_LEFT</v>
      </c>
      <c r="D90" s="36" t="str">
        <f t="shared" ca="1" si="20"/>
        <v>Signal Head</v>
      </c>
      <c r="E90" s="36" t="str">
        <f t="shared" ca="1" si="21"/>
        <v>Throw</v>
      </c>
      <c r="F90" s="36" t="str">
        <f t="shared" ca="1" si="22"/>
        <v>OUT</v>
      </c>
      <c r="G90" s="36">
        <f t="shared" ca="1" si="23"/>
        <v>0</v>
      </c>
      <c r="H90" s="36" t="str">
        <f t="shared" ca="1" si="24"/>
        <v>CTC_OS_LEFT:OME:DBL:HEAD1:GRN</v>
      </c>
      <c r="I90" s="49" t="e">
        <f ca="1">VLOOKUP(Mapping[[#This Row],[Object Name]],PCB_PIN_TABLE,2, FALSE)</f>
        <v>#N/A</v>
      </c>
      <c r="J90" s="36" t="str">
        <f ca="1">_xlfn.CONCAT(Mapping[[#This Row],[Module]], " ", Mapping[[#This Row],[Object Name]])</f>
        <v>CTC_OS_LEFT CTC_OS_LEFT:OME:DBL:HEAD1:GRN</v>
      </c>
      <c r="K90" s="36" t="str">
        <f t="shared" ca="1" si="17"/>
        <v>CTn022</v>
      </c>
      <c r="L90" s="36" t="str">
        <f t="shared" ca="1" si="18"/>
        <v>-</v>
      </c>
      <c r="M90" s="47"/>
      <c r="N90"/>
    </row>
    <row r="91" spans="1:14" x14ac:dyDescent="0.2">
      <c r="A91" s="46" t="s">
        <v>25</v>
      </c>
      <c r="B91" s="55">
        <f t="shared" si="16"/>
        <v>23</v>
      </c>
      <c r="C91" s="36" t="str">
        <f t="shared" ca="1" si="19"/>
        <v>CTC_OS_LEFT</v>
      </c>
      <c r="D91" s="36" t="str">
        <f t="shared" ca="1" si="20"/>
        <v>Signal Head</v>
      </c>
      <c r="E91" s="36" t="str">
        <f t="shared" ca="1" si="21"/>
        <v>Throw</v>
      </c>
      <c r="F91" s="36" t="str">
        <f t="shared" ca="1" si="22"/>
        <v>OUT</v>
      </c>
      <c r="G91" s="36">
        <f t="shared" ca="1" si="23"/>
        <v>0</v>
      </c>
      <c r="H91" s="36" t="str">
        <f t="shared" ca="1" si="24"/>
        <v>CTC_OS_LEFT:OMW:DBL:HEAD0:RED</v>
      </c>
      <c r="I91" s="49" t="e">
        <f ca="1">VLOOKUP(Mapping[[#This Row],[Object Name]],PCB_PIN_TABLE,2, FALSE)</f>
        <v>#N/A</v>
      </c>
      <c r="J91" s="36" t="str">
        <f ca="1">_xlfn.CONCAT(Mapping[[#This Row],[Module]], " ", Mapping[[#This Row],[Object Name]])</f>
        <v>CTC_OS_LEFT CTC_OS_LEFT:OMW:DBL:HEAD0:RED</v>
      </c>
      <c r="K91" s="36" t="str">
        <f t="shared" ca="1" si="17"/>
        <v>CTn023</v>
      </c>
      <c r="L91" s="36" t="str">
        <f t="shared" ca="1" si="18"/>
        <v>-</v>
      </c>
      <c r="M91" s="47"/>
      <c r="N91"/>
    </row>
    <row r="92" spans="1:14" x14ac:dyDescent="0.2">
      <c r="A92" s="46" t="s">
        <v>25</v>
      </c>
      <c r="B92" s="55">
        <f t="shared" si="16"/>
        <v>24</v>
      </c>
      <c r="C92" s="36" t="str">
        <f t="shared" ca="1" si="19"/>
        <v>CTC_OS_LEFT</v>
      </c>
      <c r="D92" s="36" t="str">
        <f t="shared" ca="1" si="20"/>
        <v>Signal Head</v>
      </c>
      <c r="E92" s="36" t="str">
        <f t="shared" ca="1" si="21"/>
        <v>Throw</v>
      </c>
      <c r="F92" s="36" t="str">
        <f t="shared" ca="1" si="22"/>
        <v>OUT</v>
      </c>
      <c r="G92" s="36">
        <f t="shared" ca="1" si="23"/>
        <v>0</v>
      </c>
      <c r="H92" s="36" t="str">
        <f t="shared" ca="1" si="24"/>
        <v>CTC_OS_LEFT:OMW:DBL:HEAD0:YEL</v>
      </c>
      <c r="I92" s="49" t="e">
        <f ca="1">VLOOKUP(Mapping[[#This Row],[Object Name]],PCB_PIN_TABLE,2, FALSE)</f>
        <v>#N/A</v>
      </c>
      <c r="J92" s="36" t="str">
        <f ca="1">_xlfn.CONCAT(Mapping[[#This Row],[Module]], " ", Mapping[[#This Row],[Object Name]])</f>
        <v>CTC_OS_LEFT CTC_OS_LEFT:OMW:DBL:HEAD0:YEL</v>
      </c>
      <c r="K92" s="36" t="str">
        <f t="shared" ca="1" si="17"/>
        <v>CTn024</v>
      </c>
      <c r="L92" s="36" t="str">
        <f t="shared" ca="1" si="18"/>
        <v>-</v>
      </c>
      <c r="M92" s="47"/>
      <c r="N92"/>
    </row>
    <row r="93" spans="1:14" x14ac:dyDescent="0.2">
      <c r="A93" s="46" t="s">
        <v>25</v>
      </c>
      <c r="B93" s="55">
        <f t="shared" si="16"/>
        <v>25</v>
      </c>
      <c r="C93" s="36" t="str">
        <f t="shared" ca="1" si="19"/>
        <v>CTC_OS_LEFT</v>
      </c>
      <c r="D93" s="36" t="str">
        <f t="shared" ca="1" si="20"/>
        <v>Signal Head</v>
      </c>
      <c r="E93" s="36" t="str">
        <f t="shared" ca="1" si="21"/>
        <v>Throw</v>
      </c>
      <c r="F93" s="36" t="str">
        <f t="shared" ca="1" si="22"/>
        <v>OUT</v>
      </c>
      <c r="G93" s="36">
        <f t="shared" ca="1" si="23"/>
        <v>0</v>
      </c>
      <c r="H93" s="36" t="str">
        <f t="shared" ca="1" si="24"/>
        <v>CTC_OS_LEFT:OMW:DBL:HEAD0:GRN</v>
      </c>
      <c r="I93" s="49" t="e">
        <f ca="1">VLOOKUP(Mapping[[#This Row],[Object Name]],PCB_PIN_TABLE,2, FALSE)</f>
        <v>#N/A</v>
      </c>
      <c r="J93" s="36" t="str">
        <f ca="1">_xlfn.CONCAT(Mapping[[#This Row],[Module]], " ", Mapping[[#This Row],[Object Name]])</f>
        <v>CTC_OS_LEFT CTC_OS_LEFT:OMW:DBL:HEAD0:GRN</v>
      </c>
      <c r="K93" s="36" t="str">
        <f t="shared" ca="1" si="17"/>
        <v>CTn025</v>
      </c>
      <c r="L93" s="36" t="str">
        <f t="shared" ca="1" si="18"/>
        <v>-</v>
      </c>
      <c r="M93" s="47"/>
      <c r="N93"/>
    </row>
    <row r="94" spans="1:14" x14ac:dyDescent="0.2">
      <c r="A94" s="46" t="s">
        <v>25</v>
      </c>
      <c r="B94" s="55">
        <f t="shared" si="16"/>
        <v>26</v>
      </c>
      <c r="C94" s="36" t="str">
        <f t="shared" ca="1" si="19"/>
        <v>CTC_OS_LEFT</v>
      </c>
      <c r="D94" s="36" t="str">
        <f t="shared" ca="1" si="20"/>
        <v>Signal Head</v>
      </c>
      <c r="E94" s="36" t="str">
        <f t="shared" ca="1" si="21"/>
        <v>Throw</v>
      </c>
      <c r="F94" s="36" t="str">
        <f t="shared" ca="1" si="22"/>
        <v>OUT</v>
      </c>
      <c r="G94" s="36">
        <f t="shared" ca="1" si="23"/>
        <v>0</v>
      </c>
      <c r="H94" s="36" t="str">
        <f t="shared" ca="1" si="24"/>
        <v>CTC_OS_LEFT:OMW:DBL:HEAD1:RED</v>
      </c>
      <c r="I94" s="49" t="e">
        <f ca="1">VLOOKUP(Mapping[[#This Row],[Object Name]],PCB_PIN_TABLE,2, FALSE)</f>
        <v>#N/A</v>
      </c>
      <c r="J94" s="36" t="str">
        <f ca="1">_xlfn.CONCAT(Mapping[[#This Row],[Module]], " ", Mapping[[#This Row],[Object Name]])</f>
        <v>CTC_OS_LEFT CTC_OS_LEFT:OMW:DBL:HEAD1:RED</v>
      </c>
      <c r="K94" s="36" t="str">
        <f t="shared" ca="1" si="17"/>
        <v>CTn026</v>
      </c>
      <c r="L94" s="36" t="str">
        <f t="shared" ca="1" si="18"/>
        <v>-</v>
      </c>
      <c r="M94" s="47"/>
      <c r="N94"/>
    </row>
    <row r="95" spans="1:14" x14ac:dyDescent="0.2">
      <c r="A95" s="46" t="s">
        <v>25</v>
      </c>
      <c r="B95" s="55">
        <f t="shared" si="16"/>
        <v>27</v>
      </c>
      <c r="C95" s="36" t="str">
        <f t="shared" ca="1" si="19"/>
        <v>CTC_OS_LEFT</v>
      </c>
      <c r="D95" s="36" t="str">
        <f t="shared" ca="1" si="20"/>
        <v>Signal Head</v>
      </c>
      <c r="E95" s="36" t="str">
        <f t="shared" ca="1" si="21"/>
        <v>Throw</v>
      </c>
      <c r="F95" s="36" t="str">
        <f t="shared" ca="1" si="22"/>
        <v>OUT</v>
      </c>
      <c r="G95" s="36">
        <f t="shared" ca="1" si="23"/>
        <v>0</v>
      </c>
      <c r="H95" s="36" t="str">
        <f t="shared" ca="1" si="24"/>
        <v>CTC_OS_LEFT:OMW:DBL:HEAD1:YEL</v>
      </c>
      <c r="I95" s="49" t="e">
        <f ca="1">VLOOKUP(Mapping[[#This Row],[Object Name]],PCB_PIN_TABLE,2, FALSE)</f>
        <v>#N/A</v>
      </c>
      <c r="J95" s="36" t="str">
        <f ca="1">_xlfn.CONCAT(Mapping[[#This Row],[Module]], " ", Mapping[[#This Row],[Object Name]])</f>
        <v>CTC_OS_LEFT CTC_OS_LEFT:OMW:DBL:HEAD1:YEL</v>
      </c>
      <c r="K95" s="36" t="str">
        <f t="shared" ca="1" si="17"/>
        <v>CTn027</v>
      </c>
      <c r="L95" s="36" t="str">
        <f t="shared" ca="1" si="18"/>
        <v>-</v>
      </c>
      <c r="M95" s="47"/>
      <c r="N95"/>
    </row>
    <row r="96" spans="1:14" x14ac:dyDescent="0.2">
      <c r="A96" s="46" t="s">
        <v>25</v>
      </c>
      <c r="B96" s="55">
        <f t="shared" si="16"/>
        <v>28</v>
      </c>
      <c r="C96" s="36" t="str">
        <f t="shared" ca="1" si="19"/>
        <v>CTC_OS_LEFT</v>
      </c>
      <c r="D96" s="36" t="str">
        <f t="shared" ca="1" si="20"/>
        <v>Signal Head</v>
      </c>
      <c r="E96" s="36" t="str">
        <f t="shared" ca="1" si="21"/>
        <v>Throw</v>
      </c>
      <c r="F96" s="36" t="str">
        <f t="shared" ca="1" si="22"/>
        <v>OUT</v>
      </c>
      <c r="G96" s="36">
        <f t="shared" ca="1" si="23"/>
        <v>0</v>
      </c>
      <c r="H96" s="36" t="str">
        <f t="shared" ca="1" si="24"/>
        <v>CTC_OS_LEFT:OMW:DBL:HEAD1:GRN</v>
      </c>
      <c r="I96" s="49" t="e">
        <f ca="1">VLOOKUP(Mapping[[#This Row],[Object Name]],PCB_PIN_TABLE,2, FALSE)</f>
        <v>#N/A</v>
      </c>
      <c r="J96" s="36" t="str">
        <f ca="1">_xlfn.CONCAT(Mapping[[#This Row],[Module]], " ", Mapping[[#This Row],[Object Name]])</f>
        <v>CTC_OS_LEFT CTC_OS_LEFT:OMW:DBL:HEAD1:GRN</v>
      </c>
      <c r="K96" s="36" t="str">
        <f t="shared" ca="1" si="17"/>
        <v>CTn028</v>
      </c>
      <c r="L96" s="36" t="str">
        <f t="shared" ca="1" si="18"/>
        <v>-</v>
      </c>
      <c r="M96" s="47"/>
      <c r="N96"/>
    </row>
    <row r="97" spans="1:14" x14ac:dyDescent="0.2">
      <c r="A97" s="46" t="s">
        <v>25</v>
      </c>
      <c r="B97" s="55">
        <f t="shared" si="16"/>
        <v>29</v>
      </c>
      <c r="C97" s="36" t="str">
        <f t="shared" ca="1" si="19"/>
        <v>Unassigned</v>
      </c>
      <c r="D97" s="36" t="str">
        <f t="shared" ca="1" si="20"/>
        <v>Unassigned</v>
      </c>
      <c r="E97" s="36">
        <f t="shared" ca="1" si="21"/>
        <v>0</v>
      </c>
      <c r="F97" s="36" t="str">
        <f t="shared" ca="1" si="22"/>
        <v>OUT</v>
      </c>
      <c r="G97" s="36">
        <f t="shared" ca="1" si="23"/>
        <v>0</v>
      </c>
      <c r="H97" s="36" t="str">
        <f t="shared" ca="1" si="24"/>
        <v>-</v>
      </c>
      <c r="I97" s="49" t="e">
        <f ca="1">VLOOKUP(Mapping[[#This Row],[Object Name]],PCB_PIN_TABLE,2, FALSE)</f>
        <v>#N/A</v>
      </c>
      <c r="J97" s="36" t="str">
        <f ca="1">_xlfn.CONCAT(Mapping[[#This Row],[Module]], " ", Mapping[[#This Row],[Object Name]])</f>
        <v>Unassigned -</v>
      </c>
      <c r="K97" s="36" t="str">
        <f t="shared" ca="1" si="17"/>
        <v>CTn029</v>
      </c>
      <c r="L97" s="36" t="str">
        <f t="shared" ca="1" si="18"/>
        <v>-</v>
      </c>
      <c r="M97" s="47"/>
      <c r="N97"/>
    </row>
    <row r="98" spans="1:14" x14ac:dyDescent="0.2">
      <c r="A98" s="46" t="s">
        <v>25</v>
      </c>
      <c r="B98" s="55">
        <f t="shared" si="16"/>
        <v>30</v>
      </c>
      <c r="C98" s="36" t="str">
        <f t="shared" ca="1" si="19"/>
        <v>CTC_OS_LEFT</v>
      </c>
      <c r="D98" s="36" t="str">
        <f t="shared" ca="1" si="20"/>
        <v>Signal Head</v>
      </c>
      <c r="E98" s="36" t="str">
        <f t="shared" ca="1" si="21"/>
        <v>Throw</v>
      </c>
      <c r="F98" s="36" t="str">
        <f t="shared" ca="1" si="22"/>
        <v>OUT</v>
      </c>
      <c r="G98" s="36">
        <f t="shared" ca="1" si="23"/>
        <v>0</v>
      </c>
      <c r="H98" s="36" t="str">
        <f t="shared" ca="1" si="24"/>
        <v>CTC_OS_LEFT:IME:DWF:HEAD0:RED</v>
      </c>
      <c r="I98" s="49" t="e">
        <f ca="1">VLOOKUP(Mapping[[#This Row],[Object Name]],PCB_PIN_TABLE,2, FALSE)</f>
        <v>#N/A</v>
      </c>
      <c r="J98" s="36" t="str">
        <f ca="1">_xlfn.CONCAT(Mapping[[#This Row],[Module]], " ", Mapping[[#This Row],[Object Name]])</f>
        <v>CTC_OS_LEFT CTC_OS_LEFT:IME:DWF:HEAD0:RED</v>
      </c>
      <c r="K98" s="36" t="str">
        <f t="shared" ca="1" si="17"/>
        <v>CTn030</v>
      </c>
      <c r="L98" s="36" t="str">
        <f t="shared" ca="1" si="18"/>
        <v>-</v>
      </c>
      <c r="M98" s="47"/>
      <c r="N98"/>
    </row>
    <row r="99" spans="1:14" x14ac:dyDescent="0.2">
      <c r="A99" s="46" t="s">
        <v>25</v>
      </c>
      <c r="B99" s="55">
        <f t="shared" si="16"/>
        <v>31</v>
      </c>
      <c r="C99" s="36" t="str">
        <f t="shared" ca="1" si="19"/>
        <v>CTC_OS_LEFT</v>
      </c>
      <c r="D99" s="36" t="str">
        <f t="shared" ca="1" si="20"/>
        <v>Signal Head</v>
      </c>
      <c r="E99" s="36" t="str">
        <f t="shared" ca="1" si="21"/>
        <v>Throw</v>
      </c>
      <c r="F99" s="36" t="str">
        <f t="shared" ca="1" si="22"/>
        <v>OUT</v>
      </c>
      <c r="G99" s="36">
        <f t="shared" ca="1" si="23"/>
        <v>0</v>
      </c>
      <c r="H99" s="36" t="str">
        <f t="shared" ca="1" si="24"/>
        <v>CTC_OS_LEFT:IME:DWF:HEAD0:YEL</v>
      </c>
      <c r="I99" s="49" t="e">
        <f ca="1">VLOOKUP(Mapping[[#This Row],[Object Name]],PCB_PIN_TABLE,2, FALSE)</f>
        <v>#N/A</v>
      </c>
      <c r="J99" s="36" t="str">
        <f ca="1">_xlfn.CONCAT(Mapping[[#This Row],[Module]], " ", Mapping[[#This Row],[Object Name]])</f>
        <v>CTC_OS_LEFT CTC_OS_LEFT:IME:DWF:HEAD0:YEL</v>
      </c>
      <c r="K99" s="36" t="str">
        <f t="shared" ca="1" si="17"/>
        <v>CTn031</v>
      </c>
      <c r="L99" s="36" t="str">
        <f t="shared" ca="1" si="18"/>
        <v>-</v>
      </c>
      <c r="M99" s="47"/>
      <c r="N99"/>
    </row>
    <row r="100" spans="1:14" x14ac:dyDescent="0.2">
      <c r="A100" s="46" t="s">
        <v>25</v>
      </c>
      <c r="B100" s="55">
        <f t="shared" si="16"/>
        <v>32</v>
      </c>
      <c r="C100" s="36" t="str">
        <f t="shared" ca="1" si="19"/>
        <v>CTC_OS_LEFT</v>
      </c>
      <c r="D100" s="36" t="str">
        <f t="shared" ca="1" si="20"/>
        <v>Signal Head</v>
      </c>
      <c r="E100" s="36" t="str">
        <f t="shared" ca="1" si="21"/>
        <v>Throw</v>
      </c>
      <c r="F100" s="36" t="str">
        <f t="shared" ca="1" si="22"/>
        <v>OUT</v>
      </c>
      <c r="G100" s="36">
        <f t="shared" ca="1" si="23"/>
        <v>0</v>
      </c>
      <c r="H100" s="36" t="str">
        <f t="shared" ca="1" si="24"/>
        <v>CTC_OS_LEFT:IME:DWF:HEAD0:GRN</v>
      </c>
      <c r="I100" s="49" t="e">
        <f ca="1">VLOOKUP(Mapping[[#This Row],[Object Name]],PCB_PIN_TABLE,2, FALSE)</f>
        <v>#N/A</v>
      </c>
      <c r="J100" s="36" t="str">
        <f ca="1">_xlfn.CONCAT(Mapping[[#This Row],[Module]], " ", Mapping[[#This Row],[Object Name]])</f>
        <v>CTC_OS_LEFT CTC_OS_LEFT:IME:DWF:HEAD0:GRN</v>
      </c>
      <c r="K100" s="36" t="str">
        <f t="shared" ca="1" si="17"/>
        <v>CTn032</v>
      </c>
      <c r="L100" s="36" t="str">
        <f t="shared" ca="1" si="18"/>
        <v>-</v>
      </c>
      <c r="M100" s="47"/>
      <c r="N100"/>
    </row>
    <row r="101" spans="1:14" x14ac:dyDescent="0.2">
      <c r="A101" s="46" t="s">
        <v>25</v>
      </c>
      <c r="B101" s="55">
        <f t="shared" ref="B101:B132" si="25">IF(A100&lt;&gt;A101,1,B100+1)</f>
        <v>33</v>
      </c>
      <c r="C101" s="36" t="str">
        <f t="shared" ca="1" si="19"/>
        <v>CTC_OS_LEFT</v>
      </c>
      <c r="D101" s="36" t="str">
        <f t="shared" ca="1" si="20"/>
        <v>Select Route Command</v>
      </c>
      <c r="E101" s="36" t="str">
        <f t="shared" ca="1" si="21"/>
        <v>Close</v>
      </c>
      <c r="F101" s="36" t="str">
        <f t="shared" ca="1" si="22"/>
        <v>OUT</v>
      </c>
      <c r="G101" s="36">
        <f t="shared" ca="1" si="23"/>
        <v>0</v>
      </c>
      <c r="H101" s="36" t="str">
        <f t="shared" ca="1" si="24"/>
        <v>CTC_OS_LEFT:TO_SRC</v>
      </c>
      <c r="I101" s="49" t="e">
        <f ca="1">VLOOKUP(Mapping[[#This Row],[Object Name]],PCB_PIN_TABLE,2, FALSE)</f>
        <v>#N/A</v>
      </c>
      <c r="J101" s="36" t="str">
        <f ca="1">_xlfn.CONCAT(Mapping[[#This Row],[Module]], " ", Mapping[[#This Row],[Object Name]])</f>
        <v>CTC_OS_LEFT CTC_OS_LEFT:TO_SRC</v>
      </c>
      <c r="K101" s="36" t="str">
        <f t="shared" ca="1" si="17"/>
        <v>CTn033</v>
      </c>
      <c r="L101" s="36" t="str">
        <f t="shared" ca="1" si="18"/>
        <v>-</v>
      </c>
      <c r="M101" s="47"/>
      <c r="N101"/>
    </row>
    <row r="102" spans="1:14" x14ac:dyDescent="0.2">
      <c r="A102" s="46" t="s">
        <v>25</v>
      </c>
      <c r="B102" s="55">
        <f t="shared" si="25"/>
        <v>34</v>
      </c>
      <c r="C102" s="36" t="str">
        <f t="shared" ca="1" si="19"/>
        <v>CTC_OS_LEFT</v>
      </c>
      <c r="D102" s="36" t="str">
        <f t="shared" ca="1" si="20"/>
        <v>Turnout Locked Light On</v>
      </c>
      <c r="E102" s="36" t="str">
        <f t="shared" ca="1" si="21"/>
        <v>Close</v>
      </c>
      <c r="F102" s="36" t="str">
        <f t="shared" ca="1" si="22"/>
        <v>OUT</v>
      </c>
      <c r="G102" s="36">
        <f t="shared" ca="1" si="23"/>
        <v>0</v>
      </c>
      <c r="H102" s="36" t="str">
        <f t="shared" ca="1" si="24"/>
        <v>CTC_OS_LEFT:TO_TULO</v>
      </c>
      <c r="I102" s="49" t="e">
        <f ca="1">VLOOKUP(Mapping[[#This Row],[Object Name]],PCB_PIN_TABLE,2, FALSE)</f>
        <v>#N/A</v>
      </c>
      <c r="J102" s="36" t="str">
        <f ca="1">_xlfn.CONCAT(Mapping[[#This Row],[Module]], " ", Mapping[[#This Row],[Object Name]])</f>
        <v>CTC_OS_LEFT CTC_OS_LEFT:TO_TULO</v>
      </c>
      <c r="K102" s="36" t="str">
        <f t="shared" ca="1" si="17"/>
        <v>CTn034</v>
      </c>
      <c r="L102" s="36" t="str">
        <f t="shared" ca="1" si="18"/>
        <v>-</v>
      </c>
      <c r="M102" s="47"/>
      <c r="N102"/>
    </row>
    <row r="103" spans="1:14" x14ac:dyDescent="0.2">
      <c r="A103" s="46" t="s">
        <v>25</v>
      </c>
      <c r="B103" s="55">
        <f t="shared" si="25"/>
        <v>35</v>
      </c>
      <c r="C103" s="36" t="str">
        <f t="shared" ca="1" si="19"/>
        <v>Unassigned</v>
      </c>
      <c r="D103" s="36" t="str">
        <f t="shared" ca="1" si="20"/>
        <v>Unassigned</v>
      </c>
      <c r="E103" s="36">
        <f t="shared" ca="1" si="21"/>
        <v>0</v>
      </c>
      <c r="F103" s="36" t="str">
        <f t="shared" ca="1" si="22"/>
        <v>OUT</v>
      </c>
      <c r="G103" s="36">
        <f t="shared" ca="1" si="23"/>
        <v>0</v>
      </c>
      <c r="H103" s="36" t="str">
        <f t="shared" ca="1" si="24"/>
        <v>-</v>
      </c>
      <c r="I103" s="49" t="e">
        <f ca="1">VLOOKUP(Mapping[[#This Row],[Object Name]],PCB_PIN_TABLE,2, FALSE)</f>
        <v>#N/A</v>
      </c>
      <c r="J103" s="36" t="str">
        <f ca="1">_xlfn.CONCAT(Mapping[[#This Row],[Module]], " ", Mapping[[#This Row],[Object Name]])</f>
        <v>Unassigned -</v>
      </c>
      <c r="K103" s="36" t="str">
        <f t="shared" ca="1" si="17"/>
        <v>CTn035</v>
      </c>
      <c r="L103" s="36" t="str">
        <f t="shared" ca="1" si="18"/>
        <v>-</v>
      </c>
      <c r="M103" s="47"/>
      <c r="N103"/>
    </row>
    <row r="104" spans="1:14" x14ac:dyDescent="0.2">
      <c r="A104" s="46" t="s">
        <v>25</v>
      </c>
      <c r="B104" s="55">
        <f t="shared" si="25"/>
        <v>36</v>
      </c>
      <c r="C104" s="36" t="str">
        <f t="shared" ca="1" si="19"/>
        <v>Unassigned</v>
      </c>
      <c r="D104" s="36" t="str">
        <f t="shared" ca="1" si="20"/>
        <v>Unassigned</v>
      </c>
      <c r="E104" s="36">
        <f t="shared" ca="1" si="21"/>
        <v>0</v>
      </c>
      <c r="F104" s="36" t="str">
        <f t="shared" ca="1" si="22"/>
        <v>OUT</v>
      </c>
      <c r="G104" s="36">
        <f t="shared" ca="1" si="23"/>
        <v>0</v>
      </c>
      <c r="H104" s="36" t="str">
        <f t="shared" ca="1" si="24"/>
        <v>-</v>
      </c>
      <c r="I104" s="49" t="e">
        <f ca="1">VLOOKUP(Mapping[[#This Row],[Object Name]],PCB_PIN_TABLE,2, FALSE)</f>
        <v>#N/A</v>
      </c>
      <c r="J104" s="36" t="str">
        <f ca="1">_xlfn.CONCAT(Mapping[[#This Row],[Module]], " ", Mapping[[#This Row],[Object Name]])</f>
        <v>Unassigned -</v>
      </c>
      <c r="K104" s="36" t="str">
        <f t="shared" ca="1" si="17"/>
        <v>CTn036</v>
      </c>
      <c r="L104" s="36" t="str">
        <f t="shared" ca="1" si="18"/>
        <v>-</v>
      </c>
      <c r="M104" s="47"/>
      <c r="N104"/>
    </row>
    <row r="105" spans="1:14" x14ac:dyDescent="0.2">
      <c r="A105" s="46" t="s">
        <v>25</v>
      </c>
      <c r="B105" s="55">
        <f t="shared" si="25"/>
        <v>37</v>
      </c>
      <c r="C105" s="36" t="str">
        <f t="shared" ca="1" si="19"/>
        <v>Unassigned</v>
      </c>
      <c r="D105" s="36" t="str">
        <f t="shared" ca="1" si="20"/>
        <v>Unassigned</v>
      </c>
      <c r="E105" s="36">
        <f t="shared" ca="1" si="21"/>
        <v>0</v>
      </c>
      <c r="F105" s="36" t="str">
        <f t="shared" ca="1" si="22"/>
        <v>OUT</v>
      </c>
      <c r="G105" s="36">
        <f t="shared" ca="1" si="23"/>
        <v>0</v>
      </c>
      <c r="H105" s="36" t="str">
        <f t="shared" ca="1" si="24"/>
        <v>-</v>
      </c>
      <c r="I105" s="49" t="e">
        <f ca="1">VLOOKUP(Mapping[[#This Row],[Object Name]],PCB_PIN_TABLE,2, FALSE)</f>
        <v>#N/A</v>
      </c>
      <c r="J105" s="36" t="str">
        <f ca="1">_xlfn.CONCAT(Mapping[[#This Row],[Module]], " ", Mapping[[#This Row],[Object Name]])</f>
        <v>Unassigned -</v>
      </c>
      <c r="K105" s="36" t="str">
        <f t="shared" ca="1" si="17"/>
        <v>CSn037</v>
      </c>
      <c r="L105" s="36" t="str">
        <f t="shared" ca="1" si="18"/>
        <v>-</v>
      </c>
      <c r="M105" s="47"/>
      <c r="N105"/>
    </row>
    <row r="106" spans="1:14" x14ac:dyDescent="0.2">
      <c r="A106" s="46" t="s">
        <v>25</v>
      </c>
      <c r="B106" s="55">
        <f t="shared" si="25"/>
        <v>38</v>
      </c>
      <c r="C106" s="36" t="str">
        <f t="shared" ca="1" si="19"/>
        <v>Unassigned</v>
      </c>
      <c r="D106" s="36" t="str">
        <f t="shared" ca="1" si="20"/>
        <v>Unassigned</v>
      </c>
      <c r="E106" s="36">
        <f t="shared" ca="1" si="21"/>
        <v>0</v>
      </c>
      <c r="F106" s="36" t="str">
        <f t="shared" ca="1" si="22"/>
        <v>OUT</v>
      </c>
      <c r="G106" s="36">
        <f t="shared" ca="1" si="23"/>
        <v>0</v>
      </c>
      <c r="H106" s="36" t="str">
        <f t="shared" ca="1" si="24"/>
        <v>-</v>
      </c>
      <c r="I106" s="49" t="e">
        <f ca="1">VLOOKUP(Mapping[[#This Row],[Object Name]],PCB_PIN_TABLE,2, FALSE)</f>
        <v>#N/A</v>
      </c>
      <c r="J106" s="36" t="str">
        <f ca="1">_xlfn.CONCAT(Mapping[[#This Row],[Module]], " ", Mapping[[#This Row],[Object Name]])</f>
        <v>Unassigned -</v>
      </c>
      <c r="K106" s="36" t="str">
        <f t="shared" ca="1" si="17"/>
        <v>CTn038</v>
      </c>
      <c r="L106" s="36" t="str">
        <f t="shared" ca="1" si="18"/>
        <v>-</v>
      </c>
      <c r="M106" s="47"/>
      <c r="N106"/>
    </row>
    <row r="107" spans="1:14" x14ac:dyDescent="0.2">
      <c r="A107" s="46" t="s">
        <v>25</v>
      </c>
      <c r="B107" s="55">
        <f t="shared" si="25"/>
        <v>39</v>
      </c>
      <c r="C107" s="36" t="str">
        <f t="shared" ca="1" si="19"/>
        <v>Unassigned</v>
      </c>
      <c r="D107" s="36" t="str">
        <f t="shared" ca="1" si="20"/>
        <v>Unassigned</v>
      </c>
      <c r="E107" s="36">
        <f t="shared" ca="1" si="21"/>
        <v>0</v>
      </c>
      <c r="F107" s="36" t="str">
        <f t="shared" ca="1" si="22"/>
        <v>OUT</v>
      </c>
      <c r="G107" s="36">
        <f t="shared" ca="1" si="23"/>
        <v>0</v>
      </c>
      <c r="H107" s="36" t="str">
        <f t="shared" ca="1" si="24"/>
        <v>-</v>
      </c>
      <c r="I107" s="49" t="e">
        <f ca="1">VLOOKUP(Mapping[[#This Row],[Object Name]],PCB_PIN_TABLE,2, FALSE)</f>
        <v>#N/A</v>
      </c>
      <c r="J107" s="36" t="str">
        <f ca="1">_xlfn.CONCAT(Mapping[[#This Row],[Module]], " ", Mapping[[#This Row],[Object Name]])</f>
        <v>Unassigned -</v>
      </c>
      <c r="K107" s="36" t="str">
        <f t="shared" ca="1" si="17"/>
        <v>CTn039</v>
      </c>
      <c r="L107" s="36" t="str">
        <f t="shared" ca="1" si="18"/>
        <v>-</v>
      </c>
      <c r="M107" s="47"/>
      <c r="N107"/>
    </row>
    <row r="108" spans="1:14" x14ac:dyDescent="0.2">
      <c r="A108" s="46" t="s">
        <v>25</v>
      </c>
      <c r="B108" s="55">
        <f t="shared" si="25"/>
        <v>40</v>
      </c>
      <c r="C108" s="36" t="str">
        <f t="shared" ca="1" si="19"/>
        <v>Unassigned</v>
      </c>
      <c r="D108" s="36" t="str">
        <f t="shared" ca="1" si="20"/>
        <v>Unassigned</v>
      </c>
      <c r="E108" s="36">
        <f t="shared" ca="1" si="21"/>
        <v>0</v>
      </c>
      <c r="F108" s="36" t="str">
        <f t="shared" ca="1" si="22"/>
        <v>OUT</v>
      </c>
      <c r="G108" s="36">
        <f t="shared" ca="1" si="23"/>
        <v>0</v>
      </c>
      <c r="H108" s="36" t="str">
        <f t="shared" ca="1" si="24"/>
        <v>-</v>
      </c>
      <c r="I108" s="49" t="e">
        <f ca="1">VLOOKUP(Mapping[[#This Row],[Object Name]],PCB_PIN_TABLE,2, FALSE)</f>
        <v>#N/A</v>
      </c>
      <c r="J108" s="36" t="str">
        <f ca="1">_xlfn.CONCAT(Mapping[[#This Row],[Module]], " ", Mapping[[#This Row],[Object Name]])</f>
        <v>Unassigned -</v>
      </c>
      <c r="K108" s="36" t="str">
        <f t="shared" ca="1" si="17"/>
        <v>CTn040</v>
      </c>
      <c r="L108" s="36" t="str">
        <f t="shared" ca="1" si="18"/>
        <v>-</v>
      </c>
      <c r="M108" s="47"/>
      <c r="N108"/>
    </row>
    <row r="109" spans="1:14" x14ac:dyDescent="0.2">
      <c r="A109" s="46" t="s">
        <v>25</v>
      </c>
      <c r="B109" s="55">
        <f t="shared" si="25"/>
        <v>41</v>
      </c>
      <c r="C109" s="36" t="str">
        <f t="shared" ca="1" si="19"/>
        <v>Unassigned</v>
      </c>
      <c r="D109" s="36" t="str">
        <f t="shared" ca="1" si="20"/>
        <v>Unassigned</v>
      </c>
      <c r="E109" s="36">
        <f t="shared" ca="1" si="21"/>
        <v>0</v>
      </c>
      <c r="F109" s="36" t="str">
        <f t="shared" ca="1" si="22"/>
        <v>OUT</v>
      </c>
      <c r="G109" s="36">
        <f t="shared" ca="1" si="23"/>
        <v>0</v>
      </c>
      <c r="H109" s="36" t="str">
        <f t="shared" ca="1" si="24"/>
        <v>-</v>
      </c>
      <c r="I109" s="49" t="e">
        <f ca="1">VLOOKUP(Mapping[[#This Row],[Object Name]],PCB_PIN_TABLE,2, FALSE)</f>
        <v>#N/A</v>
      </c>
      <c r="J109" s="36" t="str">
        <f ca="1">_xlfn.CONCAT(Mapping[[#This Row],[Module]], " ", Mapping[[#This Row],[Object Name]])</f>
        <v>Unassigned -</v>
      </c>
      <c r="K109" s="36" t="str">
        <f t="shared" ca="1" si="17"/>
        <v>CTn041</v>
      </c>
      <c r="L109" s="36" t="str">
        <f t="shared" ca="1" si="18"/>
        <v>-</v>
      </c>
      <c r="M109" s="47"/>
      <c r="N109"/>
    </row>
    <row r="110" spans="1:14" x14ac:dyDescent="0.2">
      <c r="A110" s="46" t="s">
        <v>25</v>
      </c>
      <c r="B110" s="55">
        <f t="shared" si="25"/>
        <v>42</v>
      </c>
      <c r="C110" s="36" t="str">
        <f t="shared" ca="1" si="19"/>
        <v>Unassigned</v>
      </c>
      <c r="D110" s="36" t="str">
        <f t="shared" ca="1" si="20"/>
        <v>Unassigned</v>
      </c>
      <c r="E110" s="36">
        <f t="shared" ca="1" si="21"/>
        <v>0</v>
      </c>
      <c r="F110" s="36" t="str">
        <f t="shared" ca="1" si="22"/>
        <v>OUT</v>
      </c>
      <c r="G110" s="36">
        <f t="shared" ca="1" si="23"/>
        <v>0</v>
      </c>
      <c r="H110" s="36" t="str">
        <f t="shared" ca="1" si="24"/>
        <v>-</v>
      </c>
      <c r="I110" s="49" t="e">
        <f ca="1">VLOOKUP(Mapping[[#This Row],[Object Name]],PCB_PIN_TABLE,2, FALSE)</f>
        <v>#N/A</v>
      </c>
      <c r="J110" s="36" t="str">
        <f ca="1">_xlfn.CONCAT(Mapping[[#This Row],[Module]], " ", Mapping[[#This Row],[Object Name]])</f>
        <v>Unassigned -</v>
      </c>
      <c r="K110" s="36" t="str">
        <f t="shared" ca="1" si="17"/>
        <v>CTn042</v>
      </c>
      <c r="L110" s="36" t="str">
        <f t="shared" ca="1" si="18"/>
        <v>-</v>
      </c>
      <c r="M110" s="47"/>
      <c r="N110"/>
    </row>
    <row r="111" spans="1:14" x14ac:dyDescent="0.2">
      <c r="A111" s="46" t="s">
        <v>25</v>
      </c>
      <c r="B111" s="55">
        <f t="shared" si="25"/>
        <v>43</v>
      </c>
      <c r="C111" s="36" t="str">
        <f t="shared" ca="1" si="19"/>
        <v>Unassigned</v>
      </c>
      <c r="D111" s="36" t="str">
        <f t="shared" ca="1" si="20"/>
        <v>Unassigned</v>
      </c>
      <c r="E111" s="36">
        <f t="shared" ca="1" si="21"/>
        <v>0</v>
      </c>
      <c r="F111" s="36" t="str">
        <f t="shared" ca="1" si="22"/>
        <v>OUT</v>
      </c>
      <c r="G111" s="36">
        <f t="shared" ca="1" si="23"/>
        <v>0</v>
      </c>
      <c r="H111" s="36" t="str">
        <f t="shared" ca="1" si="24"/>
        <v>-</v>
      </c>
      <c r="I111" s="49" t="e">
        <f ca="1">VLOOKUP(Mapping[[#This Row],[Object Name]],PCB_PIN_TABLE,2, FALSE)</f>
        <v>#N/A</v>
      </c>
      <c r="J111" s="36" t="str">
        <f ca="1">_xlfn.CONCAT(Mapping[[#This Row],[Module]], " ", Mapping[[#This Row],[Object Name]])</f>
        <v>Unassigned -</v>
      </c>
      <c r="K111" s="36" t="str">
        <f t="shared" ca="1" si="17"/>
        <v>CTn043</v>
      </c>
      <c r="L111" s="36" t="str">
        <f t="shared" ca="1" si="18"/>
        <v>-</v>
      </c>
      <c r="M111" s="47"/>
      <c r="N111"/>
    </row>
    <row r="112" spans="1:14" x14ac:dyDescent="0.2">
      <c r="A112" s="46" t="s">
        <v>25</v>
      </c>
      <c r="B112" s="55">
        <f t="shared" si="25"/>
        <v>44</v>
      </c>
      <c r="C112" s="36" t="str">
        <f t="shared" ca="1" si="19"/>
        <v>Unassigned</v>
      </c>
      <c r="D112" s="36" t="str">
        <f t="shared" ca="1" si="20"/>
        <v>Unassigned</v>
      </c>
      <c r="E112" s="36">
        <f t="shared" ca="1" si="21"/>
        <v>0</v>
      </c>
      <c r="F112" s="36" t="str">
        <f t="shared" ca="1" si="22"/>
        <v>OUT</v>
      </c>
      <c r="G112" s="36">
        <f t="shared" ca="1" si="23"/>
        <v>0</v>
      </c>
      <c r="H112" s="36" t="str">
        <f t="shared" ca="1" si="24"/>
        <v>-</v>
      </c>
      <c r="I112" s="49" t="e">
        <f ca="1">VLOOKUP(Mapping[[#This Row],[Object Name]],PCB_PIN_TABLE,2, FALSE)</f>
        <v>#N/A</v>
      </c>
      <c r="J112" s="36" t="str">
        <f ca="1">_xlfn.CONCAT(Mapping[[#This Row],[Module]], " ", Mapping[[#This Row],[Object Name]])</f>
        <v>Unassigned -</v>
      </c>
      <c r="K112" s="36" t="str">
        <f t="shared" ca="1" si="17"/>
        <v>CTn044</v>
      </c>
      <c r="L112" s="36" t="str">
        <f t="shared" ca="1" si="18"/>
        <v>-</v>
      </c>
      <c r="M112" s="47"/>
      <c r="N112"/>
    </row>
    <row r="113" spans="1:14" x14ac:dyDescent="0.2">
      <c r="A113" s="46" t="s">
        <v>25</v>
      </c>
      <c r="B113" s="55">
        <f t="shared" si="25"/>
        <v>45</v>
      </c>
      <c r="C113" s="36" t="str">
        <f t="shared" ca="1" si="19"/>
        <v>Unassigned</v>
      </c>
      <c r="D113" s="36" t="str">
        <f t="shared" ca="1" si="20"/>
        <v>Unassigned</v>
      </c>
      <c r="E113" s="36">
        <f t="shared" ca="1" si="21"/>
        <v>0</v>
      </c>
      <c r="F113" s="36" t="str">
        <f t="shared" ca="1" si="22"/>
        <v>OUT</v>
      </c>
      <c r="G113" s="36">
        <f t="shared" ca="1" si="23"/>
        <v>0</v>
      </c>
      <c r="H113" s="36" t="str">
        <f t="shared" ca="1" si="24"/>
        <v>-</v>
      </c>
      <c r="I113" s="49" t="e">
        <f ca="1">VLOOKUP(Mapping[[#This Row],[Object Name]],PCB_PIN_TABLE,2, FALSE)</f>
        <v>#N/A</v>
      </c>
      <c r="J113" s="36" t="str">
        <f ca="1">_xlfn.CONCAT(Mapping[[#This Row],[Module]], " ", Mapping[[#This Row],[Object Name]])</f>
        <v>Unassigned -</v>
      </c>
      <c r="K113" s="36" t="str">
        <f t="shared" ca="1" si="17"/>
        <v>CTn045</v>
      </c>
      <c r="L113" s="36" t="str">
        <f t="shared" ca="1" si="18"/>
        <v>-</v>
      </c>
      <c r="M113" s="47"/>
      <c r="N113"/>
    </row>
    <row r="114" spans="1:14" x14ac:dyDescent="0.2">
      <c r="A114" s="46" t="s">
        <v>25</v>
      </c>
      <c r="B114" s="55">
        <f t="shared" si="25"/>
        <v>46</v>
      </c>
      <c r="C114" s="36" t="str">
        <f t="shared" ca="1" si="19"/>
        <v>Unassigned</v>
      </c>
      <c r="D114" s="36" t="str">
        <f t="shared" ca="1" si="20"/>
        <v>Unassigned</v>
      </c>
      <c r="E114" s="36">
        <f t="shared" ca="1" si="21"/>
        <v>0</v>
      </c>
      <c r="F114" s="36" t="str">
        <f t="shared" ca="1" si="22"/>
        <v>OUT</v>
      </c>
      <c r="G114" s="36">
        <f t="shared" ca="1" si="23"/>
        <v>0</v>
      </c>
      <c r="H114" s="36" t="str">
        <f t="shared" ca="1" si="24"/>
        <v>-</v>
      </c>
      <c r="I114" s="49" t="e">
        <f ca="1">VLOOKUP(Mapping[[#This Row],[Object Name]],PCB_PIN_TABLE,2, FALSE)</f>
        <v>#N/A</v>
      </c>
      <c r="J114" s="36" t="str">
        <f ca="1">_xlfn.CONCAT(Mapping[[#This Row],[Module]], " ", Mapping[[#This Row],[Object Name]])</f>
        <v>Unassigned -</v>
      </c>
      <c r="K114" s="36" t="str">
        <f t="shared" ca="1" si="17"/>
        <v>CTn046</v>
      </c>
      <c r="L114" s="36" t="str">
        <f t="shared" ca="1" si="18"/>
        <v>-</v>
      </c>
      <c r="M114" s="47"/>
      <c r="N114"/>
    </row>
    <row r="115" spans="1:14" x14ac:dyDescent="0.2">
      <c r="A115" s="46" t="s">
        <v>25</v>
      </c>
      <c r="B115" s="55">
        <f t="shared" si="25"/>
        <v>47</v>
      </c>
      <c r="C115" s="36" t="str">
        <f t="shared" ca="1" si="19"/>
        <v>Unassigned</v>
      </c>
      <c r="D115" s="36" t="str">
        <f t="shared" ca="1" si="20"/>
        <v>Unassigned</v>
      </c>
      <c r="E115" s="36">
        <f t="shared" ca="1" si="21"/>
        <v>0</v>
      </c>
      <c r="F115" s="36" t="str">
        <f t="shared" ca="1" si="22"/>
        <v>OUT</v>
      </c>
      <c r="G115" s="36">
        <f t="shared" ca="1" si="23"/>
        <v>0</v>
      </c>
      <c r="H115" s="36" t="str">
        <f t="shared" ca="1" si="24"/>
        <v>-</v>
      </c>
      <c r="I115" s="49" t="e">
        <f ca="1">VLOOKUP(Mapping[[#This Row],[Object Name]],PCB_PIN_TABLE,2, FALSE)</f>
        <v>#N/A</v>
      </c>
      <c r="J115" s="36" t="str">
        <f ca="1">_xlfn.CONCAT(Mapping[[#This Row],[Module]], " ", Mapping[[#This Row],[Object Name]])</f>
        <v>Unassigned -</v>
      </c>
      <c r="K115" s="36" t="str">
        <f t="shared" ca="1" si="17"/>
        <v>CTn047</v>
      </c>
      <c r="L115" s="36" t="str">
        <f t="shared" ca="1" si="18"/>
        <v>-</v>
      </c>
      <c r="M115" s="47"/>
      <c r="N115"/>
    </row>
    <row r="116" spans="1:14" x14ac:dyDescent="0.2">
      <c r="A116" s="46" t="s">
        <v>25</v>
      </c>
      <c r="B116" s="55">
        <f t="shared" si="25"/>
        <v>48</v>
      </c>
      <c r="C116" s="36" t="str">
        <f t="shared" ca="1" si="19"/>
        <v>Unassigned</v>
      </c>
      <c r="D116" s="36" t="str">
        <f t="shared" ca="1" si="20"/>
        <v>Unassigned</v>
      </c>
      <c r="E116" s="36">
        <f t="shared" ca="1" si="21"/>
        <v>0</v>
      </c>
      <c r="F116" s="36" t="str">
        <f t="shared" ca="1" si="22"/>
        <v>OUT</v>
      </c>
      <c r="G116" s="36">
        <f t="shared" ca="1" si="23"/>
        <v>0</v>
      </c>
      <c r="H116" s="36" t="str">
        <f t="shared" ca="1" si="24"/>
        <v>-</v>
      </c>
      <c r="I116" s="49" t="e">
        <f ca="1">VLOOKUP(Mapping[[#This Row],[Object Name]],PCB_PIN_TABLE,2, FALSE)</f>
        <v>#N/A</v>
      </c>
      <c r="J116" s="36" t="str">
        <f ca="1">_xlfn.CONCAT(Mapping[[#This Row],[Module]], " ", Mapping[[#This Row],[Object Name]])</f>
        <v>Unassigned -</v>
      </c>
      <c r="K116" s="36" t="str">
        <f t="shared" ca="1" si="17"/>
        <v>CTn048</v>
      </c>
      <c r="L116" s="36" t="str">
        <f t="shared" ca="1" si="18"/>
        <v>-</v>
      </c>
      <c r="M116" s="47"/>
      <c r="N116"/>
    </row>
    <row r="117" spans="1:14" x14ac:dyDescent="0.2">
      <c r="A117" s="46" t="s">
        <v>498</v>
      </c>
      <c r="B117" s="55">
        <f t="shared" si="25"/>
        <v>1</v>
      </c>
      <c r="C117" s="36" t="str">
        <f t="shared" ca="1" si="19"/>
        <v>CTC_OS_RIGHT</v>
      </c>
      <c r="D117" s="36" t="str">
        <f t="shared" ca="1" si="20"/>
        <v>Occupied Report</v>
      </c>
      <c r="E117" s="36" t="str">
        <f t="shared" ca="1" si="21"/>
        <v>Throw</v>
      </c>
      <c r="F117" s="36" t="str">
        <f t="shared" ca="1" si="22"/>
        <v>IN</v>
      </c>
      <c r="G117" s="36">
        <f t="shared" ca="1" si="23"/>
        <v>0</v>
      </c>
      <c r="H117" s="36" t="str">
        <f t="shared" ca="1" si="24"/>
        <v>CTC_OS_RIGHT:OME:TS1</v>
      </c>
      <c r="I117" s="49" t="e">
        <f ca="1">VLOOKUP(Mapping[[#This Row],[Object Name]],PCB_PIN_TABLE,2, FALSE)</f>
        <v>#N/A</v>
      </c>
      <c r="J117" s="36" t="str">
        <f ca="1">_xlfn.CONCAT(Mapping[[#This Row],[Module]], " ", Mapping[[#This Row],[Object Name]])</f>
        <v>CTC_OS_RIGHT CTC_OS_RIGHT:OME:TS1</v>
      </c>
      <c r="K117" s="36" t="str">
        <f t="shared" ca="1" si="17"/>
        <v>CSn001</v>
      </c>
      <c r="L117" s="36" t="str">
        <f t="shared" ca="1" si="18"/>
        <v>-</v>
      </c>
      <c r="M117" s="47"/>
      <c r="N117"/>
    </row>
    <row r="118" spans="1:14" x14ac:dyDescent="0.2">
      <c r="A118" s="46" t="s">
        <v>498</v>
      </c>
      <c r="B118" s="55">
        <f t="shared" si="25"/>
        <v>2</v>
      </c>
      <c r="C118" s="36" t="str">
        <f t="shared" ca="1" si="19"/>
        <v>CTC_OS_RIGHT</v>
      </c>
      <c r="D118" s="36" t="str">
        <f t="shared" ca="1" si="20"/>
        <v>Occupied Report</v>
      </c>
      <c r="E118" s="36" t="str">
        <f t="shared" ca="1" si="21"/>
        <v>Throw</v>
      </c>
      <c r="F118" s="36" t="str">
        <f t="shared" ca="1" si="22"/>
        <v>IN</v>
      </c>
      <c r="G118" s="36">
        <f t="shared" ca="1" si="23"/>
        <v>0</v>
      </c>
      <c r="H118" s="36" t="str">
        <f t="shared" ca="1" si="24"/>
        <v>CTC_OS_RIGHT:OME:TS2</v>
      </c>
      <c r="I118" s="49" t="e">
        <f ca="1">VLOOKUP(Mapping[[#This Row],[Object Name]],PCB_PIN_TABLE,2, FALSE)</f>
        <v>#N/A</v>
      </c>
      <c r="J118" s="36" t="str">
        <f ca="1">_xlfn.CONCAT(Mapping[[#This Row],[Module]], " ", Mapping[[#This Row],[Object Name]])</f>
        <v>CTC_OS_RIGHT CTC_OS_RIGHT:OME:TS2</v>
      </c>
      <c r="K118" s="36" t="str">
        <f t="shared" ca="1" si="17"/>
        <v>CSn002</v>
      </c>
      <c r="L118" s="36" t="str">
        <f t="shared" ca="1" si="18"/>
        <v>-</v>
      </c>
      <c r="M118" s="47"/>
      <c r="N118"/>
    </row>
    <row r="119" spans="1:14" x14ac:dyDescent="0.2">
      <c r="A119" s="46" t="s">
        <v>498</v>
      </c>
      <c r="B119" s="55">
        <f t="shared" si="25"/>
        <v>3</v>
      </c>
      <c r="C119" s="36" t="str">
        <f t="shared" ca="1" si="19"/>
        <v>Unassigned</v>
      </c>
      <c r="D119" s="36" t="str">
        <f t="shared" ca="1" si="20"/>
        <v>Unassigned</v>
      </c>
      <c r="E119" s="36">
        <f t="shared" ca="1" si="21"/>
        <v>0</v>
      </c>
      <c r="F119" s="36" t="str">
        <f t="shared" ca="1" si="22"/>
        <v>IN</v>
      </c>
      <c r="G119" s="36">
        <f t="shared" ca="1" si="23"/>
        <v>0</v>
      </c>
      <c r="H119" s="36" t="str">
        <f t="shared" ca="1" si="24"/>
        <v>-</v>
      </c>
      <c r="I119" s="49" t="e">
        <f ca="1">VLOOKUP(Mapping[[#This Row],[Object Name]],PCB_PIN_TABLE,2, FALSE)</f>
        <v>#N/A</v>
      </c>
      <c r="J119" s="36" t="str">
        <f ca="1">_xlfn.CONCAT(Mapping[[#This Row],[Module]], " ", Mapping[[#This Row],[Object Name]])</f>
        <v>Unassigned -</v>
      </c>
      <c r="K119" s="36" t="str">
        <f t="shared" ca="1" si="17"/>
        <v>CSn003</v>
      </c>
      <c r="L119" s="36" t="str">
        <f t="shared" ca="1" si="18"/>
        <v>-</v>
      </c>
      <c r="M119" s="47"/>
      <c r="N119"/>
    </row>
    <row r="120" spans="1:14" x14ac:dyDescent="0.2">
      <c r="A120" s="46" t="s">
        <v>498</v>
      </c>
      <c r="B120" s="55">
        <f t="shared" si="25"/>
        <v>4</v>
      </c>
      <c r="C120" s="36" t="str">
        <f t="shared" ca="1" si="19"/>
        <v>Unassigned</v>
      </c>
      <c r="D120" s="36" t="str">
        <f t="shared" ca="1" si="20"/>
        <v>Unassigned</v>
      </c>
      <c r="E120" s="36">
        <f t="shared" ca="1" si="21"/>
        <v>0</v>
      </c>
      <c r="F120" s="36" t="str">
        <f t="shared" ca="1" si="22"/>
        <v>IN</v>
      </c>
      <c r="G120" s="36">
        <f t="shared" ca="1" si="23"/>
        <v>0</v>
      </c>
      <c r="H120" s="36" t="str">
        <f t="shared" ca="1" si="24"/>
        <v>-</v>
      </c>
      <c r="I120" s="49" t="e">
        <f ca="1">VLOOKUP(Mapping[[#This Row],[Object Name]],PCB_PIN_TABLE,2, FALSE)</f>
        <v>#N/A</v>
      </c>
      <c r="J120" s="36" t="str">
        <f ca="1">_xlfn.CONCAT(Mapping[[#This Row],[Module]], " ", Mapping[[#This Row],[Object Name]])</f>
        <v>Unassigned -</v>
      </c>
      <c r="K120" s="36" t="str">
        <f t="shared" ca="1" si="17"/>
        <v>CSn004</v>
      </c>
      <c r="L120" s="36" t="str">
        <f t="shared" ca="1" si="18"/>
        <v>-</v>
      </c>
      <c r="M120" s="47"/>
      <c r="N120"/>
    </row>
    <row r="121" spans="1:14" x14ac:dyDescent="0.2">
      <c r="A121" s="46" t="s">
        <v>498</v>
      </c>
      <c r="B121" s="55">
        <f t="shared" si="25"/>
        <v>5</v>
      </c>
      <c r="C121" s="36" t="str">
        <f t="shared" ca="1" si="19"/>
        <v>CTC_OS_RIGHT</v>
      </c>
      <c r="D121" s="36" t="str">
        <f t="shared" ca="1" si="20"/>
        <v>Occupied Report</v>
      </c>
      <c r="E121" s="36" t="str">
        <f t="shared" ca="1" si="21"/>
        <v>Throw</v>
      </c>
      <c r="F121" s="36" t="str">
        <f t="shared" ca="1" si="22"/>
        <v>IN</v>
      </c>
      <c r="G121" s="36">
        <f t="shared" ca="1" si="23"/>
        <v>0</v>
      </c>
      <c r="H121" s="36" t="str">
        <f t="shared" ca="1" si="24"/>
        <v>CTC_OS_RIGHT:IMW:TS1</v>
      </c>
      <c r="I121" s="49" t="e">
        <f ca="1">VLOOKUP(Mapping[[#This Row],[Object Name]],PCB_PIN_TABLE,2, FALSE)</f>
        <v>#N/A</v>
      </c>
      <c r="J121" s="36" t="str">
        <f ca="1">_xlfn.CONCAT(Mapping[[#This Row],[Module]], " ", Mapping[[#This Row],[Object Name]])</f>
        <v>CTC_OS_RIGHT CTC_OS_RIGHT:IMW:TS1</v>
      </c>
      <c r="K121" s="36" t="str">
        <f t="shared" ca="1" si="17"/>
        <v>CSn005</v>
      </c>
      <c r="L121" s="36" t="str">
        <f t="shared" ca="1" si="18"/>
        <v>-</v>
      </c>
      <c r="M121" s="47"/>
      <c r="N121"/>
    </row>
    <row r="122" spans="1:14" x14ac:dyDescent="0.2">
      <c r="A122" s="46" t="s">
        <v>498</v>
      </c>
      <c r="B122" s="55">
        <f t="shared" si="25"/>
        <v>6</v>
      </c>
      <c r="C122" s="36" t="str">
        <f t="shared" ca="1" si="19"/>
        <v>Unassigned</v>
      </c>
      <c r="D122" s="36" t="str">
        <f t="shared" ca="1" si="20"/>
        <v>Unassigned</v>
      </c>
      <c r="E122" s="36">
        <f t="shared" ca="1" si="21"/>
        <v>0</v>
      </c>
      <c r="F122" s="36" t="str">
        <f t="shared" ca="1" si="22"/>
        <v>IN</v>
      </c>
      <c r="G122" s="36">
        <f t="shared" ca="1" si="23"/>
        <v>0</v>
      </c>
      <c r="H122" s="36" t="str">
        <f t="shared" ca="1" si="24"/>
        <v>-</v>
      </c>
      <c r="I122" s="49" t="e">
        <f ca="1">VLOOKUP(Mapping[[#This Row],[Object Name]],PCB_PIN_TABLE,2, FALSE)</f>
        <v>#N/A</v>
      </c>
      <c r="J122" s="36" t="str">
        <f ca="1">_xlfn.CONCAT(Mapping[[#This Row],[Module]], " ", Mapping[[#This Row],[Object Name]])</f>
        <v>Unassigned -</v>
      </c>
      <c r="K122" s="36" t="str">
        <f t="shared" ca="1" si="17"/>
        <v>CSn006</v>
      </c>
      <c r="L122" s="36" t="str">
        <f t="shared" ca="1" si="18"/>
        <v>-</v>
      </c>
      <c r="M122" s="47"/>
      <c r="N122"/>
    </row>
    <row r="123" spans="1:14" x14ac:dyDescent="0.2">
      <c r="A123" s="46" t="s">
        <v>498</v>
      </c>
      <c r="B123" s="55">
        <f t="shared" si="25"/>
        <v>7</v>
      </c>
      <c r="C123" s="36" t="str">
        <f t="shared" ca="1" si="19"/>
        <v>Unassigned</v>
      </c>
      <c r="D123" s="36" t="str">
        <f t="shared" ca="1" si="20"/>
        <v>Unassigned</v>
      </c>
      <c r="E123" s="36">
        <f t="shared" ca="1" si="21"/>
        <v>0</v>
      </c>
      <c r="F123" s="36" t="str">
        <f t="shared" ca="1" si="22"/>
        <v>IN</v>
      </c>
      <c r="G123" s="36">
        <f t="shared" ca="1" si="23"/>
        <v>0</v>
      </c>
      <c r="H123" s="36" t="str">
        <f t="shared" ca="1" si="24"/>
        <v>-</v>
      </c>
      <c r="I123" s="49" t="e">
        <f ca="1">VLOOKUP(Mapping[[#This Row],[Object Name]],PCB_PIN_TABLE,2, FALSE)</f>
        <v>#N/A</v>
      </c>
      <c r="J123" s="36" t="str">
        <f ca="1">_xlfn.CONCAT(Mapping[[#This Row],[Module]], " ", Mapping[[#This Row],[Object Name]])</f>
        <v>Unassigned -</v>
      </c>
      <c r="K123" s="36" t="str">
        <f t="shared" ca="1" si="17"/>
        <v>CSn007</v>
      </c>
      <c r="L123" s="36" t="str">
        <f t="shared" ca="1" si="18"/>
        <v>-</v>
      </c>
      <c r="M123" s="47"/>
      <c r="N123"/>
    </row>
    <row r="124" spans="1:14" x14ac:dyDescent="0.2">
      <c r="A124" s="46" t="s">
        <v>498</v>
      </c>
      <c r="B124" s="55">
        <f t="shared" si="25"/>
        <v>8</v>
      </c>
      <c r="C124" s="36" t="str">
        <f t="shared" ca="1" si="19"/>
        <v>Unassigned</v>
      </c>
      <c r="D124" s="36" t="str">
        <f t="shared" ca="1" si="20"/>
        <v>Unassigned</v>
      </c>
      <c r="E124" s="36">
        <f t="shared" ca="1" si="21"/>
        <v>0</v>
      </c>
      <c r="F124" s="36" t="str">
        <f t="shared" ca="1" si="22"/>
        <v>IN</v>
      </c>
      <c r="G124" s="36">
        <f t="shared" ca="1" si="23"/>
        <v>0</v>
      </c>
      <c r="H124" s="36" t="str">
        <f t="shared" ca="1" si="24"/>
        <v>-</v>
      </c>
      <c r="I124" s="49" t="e">
        <f ca="1">VLOOKUP(Mapping[[#This Row],[Object Name]],PCB_PIN_TABLE,2, FALSE)</f>
        <v>#N/A</v>
      </c>
      <c r="J124" s="36" t="str">
        <f ca="1">_xlfn.CONCAT(Mapping[[#This Row],[Module]], " ", Mapping[[#This Row],[Object Name]])</f>
        <v>Unassigned -</v>
      </c>
      <c r="K124" s="36" t="str">
        <f t="shared" ca="1" si="17"/>
        <v>CSn008</v>
      </c>
      <c r="L124" s="36" t="str">
        <f t="shared" ca="1" si="18"/>
        <v>-</v>
      </c>
      <c r="M124" s="47"/>
      <c r="N124"/>
    </row>
    <row r="125" spans="1:14" x14ac:dyDescent="0.2">
      <c r="A125" s="46" t="s">
        <v>498</v>
      </c>
      <c r="B125" s="55">
        <f t="shared" si="25"/>
        <v>9</v>
      </c>
      <c r="C125" s="36" t="str">
        <f t="shared" ca="1" si="19"/>
        <v>CTC_OS_RIGHT</v>
      </c>
      <c r="D125" s="36" t="str">
        <f t="shared" ca="1" si="20"/>
        <v>Route Selected Report</v>
      </c>
      <c r="E125" s="36" t="str">
        <f t="shared" ca="1" si="21"/>
        <v>Close</v>
      </c>
      <c r="F125" s="36" t="str">
        <f t="shared" ca="1" si="22"/>
        <v>IN</v>
      </c>
      <c r="G125" s="36">
        <f t="shared" ca="1" si="23"/>
        <v>0</v>
      </c>
      <c r="H125" s="36" t="str">
        <f t="shared" ca="1" si="24"/>
        <v>CTC_OS_RIGHT:TO_RSR</v>
      </c>
      <c r="I125" s="49" t="e">
        <f ca="1">VLOOKUP(Mapping[[#This Row],[Object Name]],PCB_PIN_TABLE,2, FALSE)</f>
        <v>#N/A</v>
      </c>
      <c r="J125" s="36" t="str">
        <f ca="1">_xlfn.CONCAT(Mapping[[#This Row],[Module]], " ", Mapping[[#This Row],[Object Name]])</f>
        <v>CTC_OS_RIGHT CTC_OS_RIGHT:TO_RSR</v>
      </c>
      <c r="K125" s="36" t="str">
        <f t="shared" ca="1" si="17"/>
        <v>CSn009</v>
      </c>
      <c r="L125" s="36" t="str">
        <f t="shared" ca="1" si="18"/>
        <v>-</v>
      </c>
      <c r="M125" s="47"/>
      <c r="N125"/>
    </row>
    <row r="126" spans="1:14" x14ac:dyDescent="0.2">
      <c r="A126" s="46" t="s">
        <v>498</v>
      </c>
      <c r="B126" s="55">
        <f t="shared" si="25"/>
        <v>10</v>
      </c>
      <c r="C126" s="36" t="str">
        <f t="shared" ca="1" si="19"/>
        <v>CTC_OS_RIGHT</v>
      </c>
      <c r="D126" s="36" t="str">
        <f t="shared" ca="1" si="20"/>
        <v>Route Unselected Report</v>
      </c>
      <c r="E126" s="36" t="str">
        <f t="shared" ca="1" si="21"/>
        <v>Close</v>
      </c>
      <c r="F126" s="36" t="str">
        <f t="shared" ca="1" si="22"/>
        <v>IN</v>
      </c>
      <c r="G126" s="36">
        <f t="shared" ca="1" si="23"/>
        <v>0</v>
      </c>
      <c r="H126" s="36" t="str">
        <f t="shared" ca="1" si="24"/>
        <v>CTC_OS_RIGHT:TO_RUR</v>
      </c>
      <c r="I126" s="49" t="e">
        <f ca="1">VLOOKUP(Mapping[[#This Row],[Object Name]],PCB_PIN_TABLE,2, FALSE)</f>
        <v>#N/A</v>
      </c>
      <c r="J126" s="36" t="str">
        <f ca="1">_xlfn.CONCAT(Mapping[[#This Row],[Module]], " ", Mapping[[#This Row],[Object Name]])</f>
        <v>CTC_OS_RIGHT CTC_OS_RIGHT:TO_RUR</v>
      </c>
      <c r="K126" s="36" t="str">
        <f t="shared" ca="1" si="17"/>
        <v>CSn010</v>
      </c>
      <c r="L126" s="36" t="str">
        <f t="shared" ca="1" si="18"/>
        <v>-</v>
      </c>
      <c r="M126" s="47"/>
      <c r="N126"/>
    </row>
    <row r="127" spans="1:14" x14ac:dyDescent="0.2">
      <c r="A127" s="46" t="s">
        <v>498</v>
      </c>
      <c r="B127" s="55">
        <f t="shared" si="25"/>
        <v>11</v>
      </c>
      <c r="C127" s="36" t="str">
        <f t="shared" ca="1" si="19"/>
        <v>Unassigned</v>
      </c>
      <c r="D127" s="36" t="str">
        <f t="shared" ca="1" si="20"/>
        <v>Unassigned</v>
      </c>
      <c r="E127" s="36">
        <f t="shared" ca="1" si="21"/>
        <v>0</v>
      </c>
      <c r="F127" s="36" t="str">
        <f t="shared" ca="1" si="22"/>
        <v>IN</v>
      </c>
      <c r="G127" s="36">
        <f t="shared" ca="1" si="23"/>
        <v>0</v>
      </c>
      <c r="H127" s="36" t="str">
        <f t="shared" ca="1" si="24"/>
        <v>-</v>
      </c>
      <c r="I127" s="49" t="e">
        <f ca="1">VLOOKUP(Mapping[[#This Row],[Object Name]],PCB_PIN_TABLE,2, FALSE)</f>
        <v>#N/A</v>
      </c>
      <c r="J127" s="36" t="str">
        <f ca="1">_xlfn.CONCAT(Mapping[[#This Row],[Module]], " ", Mapping[[#This Row],[Object Name]])</f>
        <v>Unassigned -</v>
      </c>
      <c r="K127" s="36" t="str">
        <f t="shared" ca="1" si="17"/>
        <v>CSn011</v>
      </c>
      <c r="L127" s="36" t="str">
        <f t="shared" ca="1" si="18"/>
        <v>-</v>
      </c>
      <c r="M127" s="47"/>
      <c r="N127"/>
    </row>
    <row r="128" spans="1:14" x14ac:dyDescent="0.2">
      <c r="A128" s="46" t="s">
        <v>498</v>
      </c>
      <c r="B128" s="55">
        <f t="shared" si="25"/>
        <v>12</v>
      </c>
      <c r="C128" s="36" t="str">
        <f t="shared" ca="1" si="19"/>
        <v>Unassigned</v>
      </c>
      <c r="D128" s="36" t="str">
        <f t="shared" ca="1" si="20"/>
        <v>Unassigned</v>
      </c>
      <c r="E128" s="36">
        <f t="shared" ca="1" si="21"/>
        <v>0</v>
      </c>
      <c r="F128" s="36" t="str">
        <f t="shared" ca="1" si="22"/>
        <v>IN</v>
      </c>
      <c r="G128" s="36">
        <f t="shared" ca="1" si="23"/>
        <v>0</v>
      </c>
      <c r="H128" s="36" t="str">
        <f t="shared" ca="1" si="24"/>
        <v>-</v>
      </c>
      <c r="I128" s="49" t="e">
        <f ca="1">VLOOKUP(Mapping[[#This Row],[Object Name]],PCB_PIN_TABLE,2, FALSE)</f>
        <v>#N/A</v>
      </c>
      <c r="J128" s="36" t="str">
        <f ca="1">_xlfn.CONCAT(Mapping[[#This Row],[Module]], " ", Mapping[[#This Row],[Object Name]])</f>
        <v>Unassigned -</v>
      </c>
      <c r="K128" s="36" t="str">
        <f t="shared" ca="1" si="17"/>
        <v>CSn012</v>
      </c>
      <c r="L128" s="36" t="str">
        <f t="shared" ca="1" si="18"/>
        <v>-</v>
      </c>
      <c r="M128" s="47"/>
      <c r="N128"/>
    </row>
    <row r="129" spans="1:14" x14ac:dyDescent="0.2">
      <c r="A129" s="46" t="s">
        <v>498</v>
      </c>
      <c r="B129" s="55">
        <f t="shared" si="25"/>
        <v>13</v>
      </c>
      <c r="C129" s="36" t="str">
        <f t="shared" ca="1" si="19"/>
        <v>Unassigned</v>
      </c>
      <c r="D129" s="36" t="str">
        <f t="shared" ca="1" si="20"/>
        <v>Unassigned</v>
      </c>
      <c r="E129" s="36">
        <f t="shared" ca="1" si="21"/>
        <v>0</v>
      </c>
      <c r="F129" s="36" t="str">
        <f t="shared" ca="1" si="22"/>
        <v>IN</v>
      </c>
      <c r="G129" s="36">
        <f t="shared" ca="1" si="23"/>
        <v>0</v>
      </c>
      <c r="H129" s="36" t="str">
        <f t="shared" ca="1" si="24"/>
        <v>-</v>
      </c>
      <c r="I129" s="49" t="e">
        <f ca="1">VLOOKUP(Mapping[[#This Row],[Object Name]],PCB_PIN_TABLE,2, FALSE)</f>
        <v>#N/A</v>
      </c>
      <c r="J129" s="36" t="str">
        <f ca="1">_xlfn.CONCAT(Mapping[[#This Row],[Module]], " ", Mapping[[#This Row],[Object Name]])</f>
        <v>Unassigned -</v>
      </c>
      <c r="K129" s="36" t="str">
        <f t="shared" ca="1" si="17"/>
        <v>CSn013</v>
      </c>
      <c r="L129" s="36" t="str">
        <f t="shared" ca="1" si="18"/>
        <v>-</v>
      </c>
      <c r="M129" s="47"/>
      <c r="N129"/>
    </row>
    <row r="130" spans="1:14" x14ac:dyDescent="0.2">
      <c r="A130" s="46" t="s">
        <v>498</v>
      </c>
      <c r="B130" s="55">
        <f t="shared" si="25"/>
        <v>14</v>
      </c>
      <c r="C130" s="36" t="str">
        <f t="shared" ca="1" si="19"/>
        <v>Unassigned</v>
      </c>
      <c r="D130" s="36" t="str">
        <f t="shared" ca="1" si="20"/>
        <v>Unassigned</v>
      </c>
      <c r="E130" s="36">
        <f t="shared" ca="1" si="21"/>
        <v>0</v>
      </c>
      <c r="F130" s="36" t="str">
        <f t="shared" ca="1" si="22"/>
        <v>IN</v>
      </c>
      <c r="G130" s="36">
        <f t="shared" ca="1" si="23"/>
        <v>0</v>
      </c>
      <c r="H130" s="36" t="str">
        <f t="shared" ca="1" si="24"/>
        <v>-</v>
      </c>
      <c r="I130" s="49" t="e">
        <f ca="1">VLOOKUP(Mapping[[#This Row],[Object Name]],PCB_PIN_TABLE,2, FALSE)</f>
        <v>#N/A</v>
      </c>
      <c r="J130" s="36" t="str">
        <f ca="1">_xlfn.CONCAT(Mapping[[#This Row],[Module]], " ", Mapping[[#This Row],[Object Name]])</f>
        <v>Unassigned -</v>
      </c>
      <c r="K130" s="36" t="str">
        <f t="shared" ca="1" si="17"/>
        <v>CSn014</v>
      </c>
      <c r="L130" s="36" t="str">
        <f t="shared" ca="1" si="18"/>
        <v>-</v>
      </c>
      <c r="M130" s="47"/>
      <c r="N130"/>
    </row>
    <row r="131" spans="1:14" x14ac:dyDescent="0.2">
      <c r="A131" s="46" t="s">
        <v>498</v>
      </c>
      <c r="B131" s="55">
        <f t="shared" si="25"/>
        <v>15</v>
      </c>
      <c r="C131" s="36" t="str">
        <f t="shared" ca="1" si="19"/>
        <v>Unassigned</v>
      </c>
      <c r="D131" s="36" t="str">
        <f t="shared" ca="1" si="20"/>
        <v>Unassigned</v>
      </c>
      <c r="E131" s="36">
        <f t="shared" ca="1" si="21"/>
        <v>0</v>
      </c>
      <c r="F131" s="36" t="str">
        <f t="shared" ca="1" si="22"/>
        <v>IN</v>
      </c>
      <c r="G131" s="36">
        <f t="shared" ca="1" si="23"/>
        <v>0</v>
      </c>
      <c r="H131" s="36" t="str">
        <f t="shared" ca="1" si="24"/>
        <v>-</v>
      </c>
      <c r="I131" s="49" t="e">
        <f ca="1">VLOOKUP(Mapping[[#This Row],[Object Name]],PCB_PIN_TABLE,2, FALSE)</f>
        <v>#N/A</v>
      </c>
      <c r="J131" s="36" t="str">
        <f ca="1">_xlfn.CONCAT(Mapping[[#This Row],[Module]], " ", Mapping[[#This Row],[Object Name]])</f>
        <v>Unassigned -</v>
      </c>
      <c r="K131" s="36" t="str">
        <f t="shared" ca="1" si="17"/>
        <v>CSn015</v>
      </c>
      <c r="L131" s="36" t="str">
        <f t="shared" ca="1" si="18"/>
        <v>-</v>
      </c>
      <c r="M131" s="47"/>
      <c r="N131"/>
    </row>
    <row r="132" spans="1:14" x14ac:dyDescent="0.2">
      <c r="A132" s="46" t="s">
        <v>498</v>
      </c>
      <c r="B132" s="55">
        <f t="shared" si="25"/>
        <v>16</v>
      </c>
      <c r="C132" s="36" t="str">
        <f t="shared" ca="1" si="19"/>
        <v>Unassigned</v>
      </c>
      <c r="D132" s="36" t="str">
        <f t="shared" ca="1" si="20"/>
        <v>Unassigned</v>
      </c>
      <c r="E132" s="36">
        <f t="shared" ca="1" si="21"/>
        <v>0</v>
      </c>
      <c r="F132" s="36" t="str">
        <f t="shared" ca="1" si="22"/>
        <v>IN</v>
      </c>
      <c r="G132" s="36">
        <f t="shared" ca="1" si="23"/>
        <v>0</v>
      </c>
      <c r="H132" s="36" t="str">
        <f t="shared" ca="1" si="24"/>
        <v>-</v>
      </c>
      <c r="I132" s="49" t="e">
        <f ca="1">VLOOKUP(Mapping[[#This Row],[Object Name]],PCB_PIN_TABLE,2, FALSE)</f>
        <v>#N/A</v>
      </c>
      <c r="J132" s="36" t="str">
        <f ca="1">_xlfn.CONCAT(Mapping[[#This Row],[Module]], " ", Mapping[[#This Row],[Object Name]])</f>
        <v>Unassigned -</v>
      </c>
      <c r="K132" s="36" t="str">
        <f t="shared" ca="1" si="17"/>
        <v>CSn016</v>
      </c>
      <c r="L132" s="36" t="str">
        <f t="shared" ca="1" si="18"/>
        <v>-</v>
      </c>
      <c r="M132" s="47"/>
      <c r="N132"/>
    </row>
    <row r="133" spans="1:14" x14ac:dyDescent="0.2">
      <c r="A133" s="46" t="s">
        <v>498</v>
      </c>
      <c r="B133" s="55">
        <f t="shared" ref="B133:B164" si="26">IF(A132&lt;&gt;A133,1,B132+1)</f>
        <v>17</v>
      </c>
      <c r="C133" s="36" t="str">
        <f t="shared" ca="1" si="19"/>
        <v>CTC_OS_RIGHT</v>
      </c>
      <c r="D133" s="36" t="str">
        <f t="shared" ca="1" si="20"/>
        <v>Signal Head</v>
      </c>
      <c r="E133" s="36" t="str">
        <f t="shared" ca="1" si="21"/>
        <v>Throw</v>
      </c>
      <c r="F133" s="36" t="str">
        <f t="shared" ca="1" si="22"/>
        <v>OUT</v>
      </c>
      <c r="G133" s="36">
        <f t="shared" ca="1" si="23"/>
        <v>0</v>
      </c>
      <c r="H133" s="36" t="str">
        <f t="shared" ca="1" si="24"/>
        <v>CTC_OS_RIGHT:OME:DBL:HEAD0:RED</v>
      </c>
      <c r="I133" s="49" t="e">
        <f ca="1">VLOOKUP(Mapping[[#This Row],[Object Name]],PCB_PIN_TABLE,2, FALSE)</f>
        <v>#N/A</v>
      </c>
      <c r="J133" s="36" t="str">
        <f ca="1">_xlfn.CONCAT(Mapping[[#This Row],[Module]], " ", Mapping[[#This Row],[Object Name]])</f>
        <v>CTC_OS_RIGHT CTC_OS_RIGHT:OME:DBL:HEAD0:RED</v>
      </c>
      <c r="K133" s="36" t="str">
        <f t="shared" ref="K133:K196" ca="1" si="27">INDEX(INDIRECT(VLOOKUP(A133,NODE_TABLE,3)),B133,K$3,1)</f>
        <v>CTn017</v>
      </c>
      <c r="L133" s="36" t="str">
        <f t="shared" ref="L133:L196" ca="1" si="28">INDEX(INDIRECT(VLOOKUP(A133,NODE_TABLE,3)),B133,L$3,1)</f>
        <v>-</v>
      </c>
      <c r="M133" s="47"/>
      <c r="N133"/>
    </row>
    <row r="134" spans="1:14" x14ac:dyDescent="0.2">
      <c r="A134" s="46" t="s">
        <v>498</v>
      </c>
      <c r="B134" s="55">
        <f t="shared" si="26"/>
        <v>18</v>
      </c>
      <c r="C134" s="36" t="str">
        <f t="shared" ref="C134:C197" ca="1" si="29">INDEX(INDIRECT(VLOOKUP(A134,NODE_TABLE, 3)),B134,C$3,1)</f>
        <v>CTC_OS_RIGHT</v>
      </c>
      <c r="D134" s="36" t="str">
        <f t="shared" ref="D134:D197" ca="1" si="30">INDEX(INDIRECT(VLOOKUP(A134,NODE_TABLE, 3)),B134,D$3,1)</f>
        <v>Signal Head</v>
      </c>
      <c r="E134" s="36" t="str">
        <f t="shared" ref="E134:E197" ca="1" si="31">INDEX(INDIRECT(VLOOKUP(A134,NODE_TABLE, 3)),B134,E$3,1)</f>
        <v>Throw</v>
      </c>
      <c r="F134" s="36" t="str">
        <f t="shared" ref="F134:F197" ca="1" si="32">INDEX(INDIRECT(VLOOKUP(A134,NODE_TABLE,3)),B134,F$3,1)</f>
        <v>OUT</v>
      </c>
      <c r="G134" s="36">
        <f t="shared" ref="G134:G197" ca="1" si="33">INDEX(INDIRECT(VLOOKUP(A134,NODE_TABLE,3)),B134,G$3,1)</f>
        <v>0</v>
      </c>
      <c r="H134" s="36" t="str">
        <f t="shared" ref="H134:H197" ca="1" si="34">INDEX(INDIRECT(VLOOKUP(A134,NODE_TABLE,3)),B134,H$3,1)</f>
        <v>CTC_OS_RIGHT:OME:DBL:HEAD0:YEL</v>
      </c>
      <c r="I134" s="49" t="e">
        <f ca="1">VLOOKUP(Mapping[[#This Row],[Object Name]],PCB_PIN_TABLE,2, FALSE)</f>
        <v>#N/A</v>
      </c>
      <c r="J134" s="36" t="str">
        <f ca="1">_xlfn.CONCAT(Mapping[[#This Row],[Module]], " ", Mapping[[#This Row],[Object Name]])</f>
        <v>CTC_OS_RIGHT CTC_OS_RIGHT:OME:DBL:HEAD0:YEL</v>
      </c>
      <c r="K134" s="36" t="str">
        <f t="shared" ca="1" si="27"/>
        <v>CTn018</v>
      </c>
      <c r="L134" s="36" t="str">
        <f t="shared" ca="1" si="28"/>
        <v>-</v>
      </c>
      <c r="M134" s="47"/>
      <c r="N134"/>
    </row>
    <row r="135" spans="1:14" x14ac:dyDescent="0.2">
      <c r="A135" s="46" t="s">
        <v>498</v>
      </c>
      <c r="B135" s="55">
        <f t="shared" si="26"/>
        <v>19</v>
      </c>
      <c r="C135" s="36" t="str">
        <f t="shared" ca="1" si="29"/>
        <v>CTC_OS_RIGHT</v>
      </c>
      <c r="D135" s="36" t="str">
        <f t="shared" ca="1" si="30"/>
        <v>Signal Head</v>
      </c>
      <c r="E135" s="36" t="str">
        <f t="shared" ca="1" si="31"/>
        <v>Throw</v>
      </c>
      <c r="F135" s="36" t="str">
        <f t="shared" ca="1" si="32"/>
        <v>OUT</v>
      </c>
      <c r="G135" s="36">
        <f t="shared" ca="1" si="33"/>
        <v>0</v>
      </c>
      <c r="H135" s="36" t="str">
        <f t="shared" ca="1" si="34"/>
        <v>CTC_OS_RIGHT:OME:DBL:HEAD0:GRN</v>
      </c>
      <c r="I135" s="49" t="e">
        <f ca="1">VLOOKUP(Mapping[[#This Row],[Object Name]],PCB_PIN_TABLE,2, FALSE)</f>
        <v>#N/A</v>
      </c>
      <c r="J135" s="36" t="str">
        <f ca="1">_xlfn.CONCAT(Mapping[[#This Row],[Module]], " ", Mapping[[#This Row],[Object Name]])</f>
        <v>CTC_OS_RIGHT CTC_OS_RIGHT:OME:DBL:HEAD0:GRN</v>
      </c>
      <c r="K135" s="36" t="str">
        <f t="shared" ca="1" si="27"/>
        <v>CTn019</v>
      </c>
      <c r="L135" s="36" t="str">
        <f t="shared" ca="1" si="28"/>
        <v>-</v>
      </c>
      <c r="M135" s="47"/>
      <c r="N135"/>
    </row>
    <row r="136" spans="1:14" x14ac:dyDescent="0.2">
      <c r="A136" s="46" t="s">
        <v>498</v>
      </c>
      <c r="B136" s="55">
        <f t="shared" si="26"/>
        <v>20</v>
      </c>
      <c r="C136" s="36" t="str">
        <f t="shared" ca="1" si="29"/>
        <v>CTC_OS_RIGHT</v>
      </c>
      <c r="D136" s="36" t="str">
        <f t="shared" ca="1" si="30"/>
        <v>Signal Head</v>
      </c>
      <c r="E136" s="36" t="str">
        <f t="shared" ca="1" si="31"/>
        <v>Throw</v>
      </c>
      <c r="F136" s="36" t="str">
        <f t="shared" ca="1" si="32"/>
        <v>OUT</v>
      </c>
      <c r="G136" s="36">
        <f t="shared" ca="1" si="33"/>
        <v>0</v>
      </c>
      <c r="H136" s="36" t="str">
        <f t="shared" ca="1" si="34"/>
        <v>CTC_OS_RIGHT:OME:DBL:HEAD1:RED</v>
      </c>
      <c r="I136" s="49" t="e">
        <f ca="1">VLOOKUP(Mapping[[#This Row],[Object Name]],PCB_PIN_TABLE,2, FALSE)</f>
        <v>#N/A</v>
      </c>
      <c r="J136" s="36" t="str">
        <f ca="1">_xlfn.CONCAT(Mapping[[#This Row],[Module]], " ", Mapping[[#This Row],[Object Name]])</f>
        <v>CTC_OS_RIGHT CTC_OS_RIGHT:OME:DBL:HEAD1:RED</v>
      </c>
      <c r="K136" s="36" t="str">
        <f t="shared" ca="1" si="27"/>
        <v>CTn020</v>
      </c>
      <c r="L136" s="36" t="str">
        <f t="shared" ca="1" si="28"/>
        <v>-</v>
      </c>
      <c r="M136" s="47"/>
      <c r="N136"/>
    </row>
    <row r="137" spans="1:14" x14ac:dyDescent="0.2">
      <c r="A137" s="46" t="s">
        <v>498</v>
      </c>
      <c r="B137" s="55">
        <f t="shared" si="26"/>
        <v>21</v>
      </c>
      <c r="C137" s="36" t="str">
        <f t="shared" ca="1" si="29"/>
        <v>CTC_OS_RIGHT</v>
      </c>
      <c r="D137" s="36" t="str">
        <f t="shared" ca="1" si="30"/>
        <v>Signal Head</v>
      </c>
      <c r="E137" s="36" t="str">
        <f t="shared" ca="1" si="31"/>
        <v>Throw</v>
      </c>
      <c r="F137" s="36" t="str">
        <f t="shared" ca="1" si="32"/>
        <v>OUT</v>
      </c>
      <c r="G137" s="36">
        <f t="shared" ca="1" si="33"/>
        <v>0</v>
      </c>
      <c r="H137" s="36" t="str">
        <f t="shared" ca="1" si="34"/>
        <v>CTC_OS_RIGHT:OME:DBL:HEAD1:YEL</v>
      </c>
      <c r="I137" s="49" t="e">
        <f ca="1">VLOOKUP(Mapping[[#This Row],[Object Name]],PCB_PIN_TABLE,2, FALSE)</f>
        <v>#N/A</v>
      </c>
      <c r="J137" s="36" t="str">
        <f ca="1">_xlfn.CONCAT(Mapping[[#This Row],[Module]], " ", Mapping[[#This Row],[Object Name]])</f>
        <v>CTC_OS_RIGHT CTC_OS_RIGHT:OME:DBL:HEAD1:YEL</v>
      </c>
      <c r="K137" s="36" t="str">
        <f t="shared" ca="1" si="27"/>
        <v>CTn021</v>
      </c>
      <c r="L137" s="36" t="str">
        <f t="shared" ca="1" si="28"/>
        <v>-</v>
      </c>
      <c r="M137" s="47"/>
      <c r="N137"/>
    </row>
    <row r="138" spans="1:14" x14ac:dyDescent="0.2">
      <c r="A138" s="46" t="s">
        <v>498</v>
      </c>
      <c r="B138" s="55">
        <f t="shared" si="26"/>
        <v>22</v>
      </c>
      <c r="C138" s="36" t="str">
        <f t="shared" ca="1" si="29"/>
        <v>CTC_OS_RIGHT</v>
      </c>
      <c r="D138" s="36" t="str">
        <f t="shared" ca="1" si="30"/>
        <v>Signal Head</v>
      </c>
      <c r="E138" s="36" t="str">
        <f t="shared" ca="1" si="31"/>
        <v>Throw</v>
      </c>
      <c r="F138" s="36" t="str">
        <f t="shared" ca="1" si="32"/>
        <v>OUT</v>
      </c>
      <c r="G138" s="36">
        <f t="shared" ca="1" si="33"/>
        <v>0</v>
      </c>
      <c r="H138" s="36" t="str">
        <f t="shared" ca="1" si="34"/>
        <v>CTC_OS_RIGHT:OME:DBL:HEAD1:GRN</v>
      </c>
      <c r="I138" s="49" t="e">
        <f ca="1">VLOOKUP(Mapping[[#This Row],[Object Name]],PCB_PIN_TABLE,2, FALSE)</f>
        <v>#N/A</v>
      </c>
      <c r="J138" s="36" t="str">
        <f ca="1">_xlfn.CONCAT(Mapping[[#This Row],[Module]], " ", Mapping[[#This Row],[Object Name]])</f>
        <v>CTC_OS_RIGHT CTC_OS_RIGHT:OME:DBL:HEAD1:GRN</v>
      </c>
      <c r="K138" s="36" t="str">
        <f t="shared" ca="1" si="27"/>
        <v>CTn022</v>
      </c>
      <c r="L138" s="36" t="str">
        <f t="shared" ca="1" si="28"/>
        <v>-</v>
      </c>
      <c r="M138" s="47"/>
      <c r="N138"/>
    </row>
    <row r="139" spans="1:14" x14ac:dyDescent="0.2">
      <c r="A139" s="46" t="s">
        <v>498</v>
      </c>
      <c r="B139" s="55">
        <f t="shared" si="26"/>
        <v>23</v>
      </c>
      <c r="C139" s="36" t="str">
        <f t="shared" ca="1" si="29"/>
        <v>CTC_OS_RIGHT</v>
      </c>
      <c r="D139" s="36" t="str">
        <f t="shared" ca="1" si="30"/>
        <v>Signal Head</v>
      </c>
      <c r="E139" s="36" t="str">
        <f t="shared" ca="1" si="31"/>
        <v>Throw</v>
      </c>
      <c r="F139" s="36" t="str">
        <f t="shared" ca="1" si="32"/>
        <v>OUT</v>
      </c>
      <c r="G139" s="36">
        <f t="shared" ca="1" si="33"/>
        <v>0</v>
      </c>
      <c r="H139" s="36" t="str">
        <f t="shared" ca="1" si="34"/>
        <v>CTC_OS_RIGHT:OMW:DBL:HEAD0:RED</v>
      </c>
      <c r="I139" s="49" t="e">
        <f ca="1">VLOOKUP(Mapping[[#This Row],[Object Name]],PCB_PIN_TABLE,2, FALSE)</f>
        <v>#N/A</v>
      </c>
      <c r="J139" s="36" t="str">
        <f ca="1">_xlfn.CONCAT(Mapping[[#This Row],[Module]], " ", Mapping[[#This Row],[Object Name]])</f>
        <v>CTC_OS_RIGHT CTC_OS_RIGHT:OMW:DBL:HEAD0:RED</v>
      </c>
      <c r="K139" s="36" t="str">
        <f t="shared" ca="1" si="27"/>
        <v>CTn023</v>
      </c>
      <c r="L139" s="36" t="str">
        <f t="shared" ca="1" si="28"/>
        <v>-</v>
      </c>
      <c r="M139" s="47"/>
      <c r="N139"/>
    </row>
    <row r="140" spans="1:14" x14ac:dyDescent="0.2">
      <c r="A140" s="46" t="s">
        <v>498</v>
      </c>
      <c r="B140" s="55">
        <f t="shared" si="26"/>
        <v>24</v>
      </c>
      <c r="C140" s="36" t="str">
        <f t="shared" ca="1" si="29"/>
        <v>CTC_OS_RIGHT</v>
      </c>
      <c r="D140" s="36" t="str">
        <f t="shared" ca="1" si="30"/>
        <v>Signal Head</v>
      </c>
      <c r="E140" s="36" t="str">
        <f t="shared" ca="1" si="31"/>
        <v>Throw</v>
      </c>
      <c r="F140" s="36" t="str">
        <f t="shared" ca="1" si="32"/>
        <v>OUT</v>
      </c>
      <c r="G140" s="36">
        <f t="shared" ca="1" si="33"/>
        <v>0</v>
      </c>
      <c r="H140" s="36" t="str">
        <f t="shared" ca="1" si="34"/>
        <v>CTC_OS_RIGHT:OMW:DBL:HEAD0:YEL</v>
      </c>
      <c r="I140" s="49" t="e">
        <f ca="1">VLOOKUP(Mapping[[#This Row],[Object Name]],PCB_PIN_TABLE,2, FALSE)</f>
        <v>#N/A</v>
      </c>
      <c r="J140" s="36" t="str">
        <f ca="1">_xlfn.CONCAT(Mapping[[#This Row],[Module]], " ", Mapping[[#This Row],[Object Name]])</f>
        <v>CTC_OS_RIGHT CTC_OS_RIGHT:OMW:DBL:HEAD0:YEL</v>
      </c>
      <c r="K140" s="36" t="str">
        <f t="shared" ca="1" si="27"/>
        <v>CTn024</v>
      </c>
      <c r="L140" s="36" t="str">
        <f t="shared" ca="1" si="28"/>
        <v>-</v>
      </c>
      <c r="M140" s="47"/>
      <c r="N140"/>
    </row>
    <row r="141" spans="1:14" x14ac:dyDescent="0.2">
      <c r="A141" s="46" t="s">
        <v>498</v>
      </c>
      <c r="B141" s="55">
        <f t="shared" si="26"/>
        <v>25</v>
      </c>
      <c r="C141" s="36" t="str">
        <f t="shared" ca="1" si="29"/>
        <v>CTC_OS_RIGHT</v>
      </c>
      <c r="D141" s="36" t="str">
        <f t="shared" ca="1" si="30"/>
        <v>Signal Head</v>
      </c>
      <c r="E141" s="36" t="str">
        <f t="shared" ca="1" si="31"/>
        <v>Throw</v>
      </c>
      <c r="F141" s="36" t="str">
        <f t="shared" ca="1" si="32"/>
        <v>OUT</v>
      </c>
      <c r="G141" s="36">
        <f t="shared" ca="1" si="33"/>
        <v>0</v>
      </c>
      <c r="H141" s="36" t="str">
        <f t="shared" ca="1" si="34"/>
        <v>CTC_OS_RIGHT:OMW:DBL:HEAD0:GRN</v>
      </c>
      <c r="I141" s="49" t="e">
        <f ca="1">VLOOKUP(Mapping[[#This Row],[Object Name]],PCB_PIN_TABLE,2, FALSE)</f>
        <v>#N/A</v>
      </c>
      <c r="J141" s="36" t="str">
        <f ca="1">_xlfn.CONCAT(Mapping[[#This Row],[Module]], " ", Mapping[[#This Row],[Object Name]])</f>
        <v>CTC_OS_RIGHT CTC_OS_RIGHT:OMW:DBL:HEAD0:GRN</v>
      </c>
      <c r="K141" s="36" t="str">
        <f t="shared" ca="1" si="27"/>
        <v>CTn025</v>
      </c>
      <c r="L141" s="36" t="str">
        <f t="shared" ca="1" si="28"/>
        <v>-</v>
      </c>
      <c r="M141" s="47"/>
      <c r="N141"/>
    </row>
    <row r="142" spans="1:14" x14ac:dyDescent="0.2">
      <c r="A142" s="46" t="s">
        <v>498</v>
      </c>
      <c r="B142" s="55">
        <f t="shared" si="26"/>
        <v>26</v>
      </c>
      <c r="C142" s="36" t="str">
        <f t="shared" ca="1" si="29"/>
        <v>CTC_OS_RIGHT</v>
      </c>
      <c r="D142" s="36" t="str">
        <f t="shared" ca="1" si="30"/>
        <v>Signal Head</v>
      </c>
      <c r="E142" s="36" t="str">
        <f t="shared" ca="1" si="31"/>
        <v>Throw</v>
      </c>
      <c r="F142" s="36" t="str">
        <f t="shared" ca="1" si="32"/>
        <v>OUT</v>
      </c>
      <c r="G142" s="36">
        <f t="shared" ca="1" si="33"/>
        <v>0</v>
      </c>
      <c r="H142" s="36" t="str">
        <f t="shared" ca="1" si="34"/>
        <v>CTC_OS_RIGHT:OMW:DBL:HEAD1:RED</v>
      </c>
      <c r="I142" s="49" t="e">
        <f ca="1">VLOOKUP(Mapping[[#This Row],[Object Name]],PCB_PIN_TABLE,2, FALSE)</f>
        <v>#N/A</v>
      </c>
      <c r="J142" s="36" t="str">
        <f ca="1">_xlfn.CONCAT(Mapping[[#This Row],[Module]], " ", Mapping[[#This Row],[Object Name]])</f>
        <v>CTC_OS_RIGHT CTC_OS_RIGHT:OMW:DBL:HEAD1:RED</v>
      </c>
      <c r="K142" s="36" t="str">
        <f t="shared" ca="1" si="27"/>
        <v>CTn026</v>
      </c>
      <c r="L142" s="36" t="str">
        <f t="shared" ca="1" si="28"/>
        <v>-</v>
      </c>
      <c r="M142" s="47"/>
      <c r="N142"/>
    </row>
    <row r="143" spans="1:14" x14ac:dyDescent="0.2">
      <c r="A143" s="46" t="s">
        <v>498</v>
      </c>
      <c r="B143" s="55">
        <f t="shared" si="26"/>
        <v>27</v>
      </c>
      <c r="C143" s="36" t="str">
        <f t="shared" ca="1" si="29"/>
        <v>CTC_OS_RIGHT</v>
      </c>
      <c r="D143" s="36" t="str">
        <f t="shared" ca="1" si="30"/>
        <v>Signal Head</v>
      </c>
      <c r="E143" s="36" t="str">
        <f t="shared" ca="1" si="31"/>
        <v>Throw</v>
      </c>
      <c r="F143" s="36" t="str">
        <f t="shared" ca="1" si="32"/>
        <v>OUT</v>
      </c>
      <c r="G143" s="36">
        <f t="shared" ca="1" si="33"/>
        <v>0</v>
      </c>
      <c r="H143" s="36" t="str">
        <f t="shared" ca="1" si="34"/>
        <v>CTC_OS_RIGHT:OMW:DBL:HEAD1:YEL</v>
      </c>
      <c r="I143" s="49" t="e">
        <f ca="1">VLOOKUP(Mapping[[#This Row],[Object Name]],PCB_PIN_TABLE,2, FALSE)</f>
        <v>#N/A</v>
      </c>
      <c r="J143" s="36" t="str">
        <f ca="1">_xlfn.CONCAT(Mapping[[#This Row],[Module]], " ", Mapping[[#This Row],[Object Name]])</f>
        <v>CTC_OS_RIGHT CTC_OS_RIGHT:OMW:DBL:HEAD1:YEL</v>
      </c>
      <c r="K143" s="36" t="str">
        <f t="shared" ca="1" si="27"/>
        <v>CTn027</v>
      </c>
      <c r="L143" s="36" t="str">
        <f t="shared" ca="1" si="28"/>
        <v>-</v>
      </c>
      <c r="M143" s="47"/>
      <c r="N143"/>
    </row>
    <row r="144" spans="1:14" x14ac:dyDescent="0.2">
      <c r="A144" s="46" t="s">
        <v>498</v>
      </c>
      <c r="B144" s="55">
        <f t="shared" si="26"/>
        <v>28</v>
      </c>
      <c r="C144" s="36" t="str">
        <f t="shared" ca="1" si="29"/>
        <v>CTC_OS_RIGHT</v>
      </c>
      <c r="D144" s="36" t="str">
        <f t="shared" ca="1" si="30"/>
        <v>Signal Head</v>
      </c>
      <c r="E144" s="36" t="str">
        <f t="shared" ca="1" si="31"/>
        <v>Throw</v>
      </c>
      <c r="F144" s="36" t="str">
        <f t="shared" ca="1" si="32"/>
        <v>OUT</v>
      </c>
      <c r="G144" s="36">
        <f t="shared" ca="1" si="33"/>
        <v>0</v>
      </c>
      <c r="H144" s="36" t="str">
        <f t="shared" ca="1" si="34"/>
        <v>CTC_OS_RIGHT:OMW:DBL:HEAD1:GRN</v>
      </c>
      <c r="I144" s="49" t="e">
        <f ca="1">VLOOKUP(Mapping[[#This Row],[Object Name]],PCB_PIN_TABLE,2, FALSE)</f>
        <v>#N/A</v>
      </c>
      <c r="J144" s="36" t="str">
        <f ca="1">_xlfn.CONCAT(Mapping[[#This Row],[Module]], " ", Mapping[[#This Row],[Object Name]])</f>
        <v>CTC_OS_RIGHT CTC_OS_RIGHT:OMW:DBL:HEAD1:GRN</v>
      </c>
      <c r="K144" s="36" t="str">
        <f t="shared" ca="1" si="27"/>
        <v>CTn028</v>
      </c>
      <c r="L144" s="36" t="str">
        <f t="shared" ca="1" si="28"/>
        <v>-</v>
      </c>
      <c r="M144" s="47"/>
      <c r="N144"/>
    </row>
    <row r="145" spans="1:14" x14ac:dyDescent="0.2">
      <c r="A145" s="46" t="s">
        <v>498</v>
      </c>
      <c r="B145" s="55">
        <f t="shared" si="26"/>
        <v>29</v>
      </c>
      <c r="C145" s="36" t="str">
        <f t="shared" ca="1" si="29"/>
        <v>Unassigned</v>
      </c>
      <c r="D145" s="36" t="str">
        <f t="shared" ca="1" si="30"/>
        <v>Unassigned</v>
      </c>
      <c r="E145" s="36">
        <f t="shared" ca="1" si="31"/>
        <v>0</v>
      </c>
      <c r="F145" s="36" t="str">
        <f t="shared" ca="1" si="32"/>
        <v>OUT</v>
      </c>
      <c r="G145" s="36">
        <f t="shared" ca="1" si="33"/>
        <v>0</v>
      </c>
      <c r="H145" s="36" t="str">
        <f t="shared" ca="1" si="34"/>
        <v>-</v>
      </c>
      <c r="I145" s="49" t="e">
        <f ca="1">VLOOKUP(Mapping[[#This Row],[Object Name]],PCB_PIN_TABLE,2, FALSE)</f>
        <v>#N/A</v>
      </c>
      <c r="J145" s="36" t="str">
        <f ca="1">_xlfn.CONCAT(Mapping[[#This Row],[Module]], " ", Mapping[[#This Row],[Object Name]])</f>
        <v>Unassigned -</v>
      </c>
      <c r="K145" s="36" t="str">
        <f t="shared" ca="1" si="27"/>
        <v>CTn029</v>
      </c>
      <c r="L145" s="36" t="str">
        <f t="shared" ca="1" si="28"/>
        <v>-</v>
      </c>
      <c r="M145" s="47"/>
      <c r="N145"/>
    </row>
    <row r="146" spans="1:14" x14ac:dyDescent="0.2">
      <c r="A146" s="46" t="s">
        <v>498</v>
      </c>
      <c r="B146" s="55">
        <f t="shared" si="26"/>
        <v>30</v>
      </c>
      <c r="C146" s="36" t="str">
        <f t="shared" ca="1" si="29"/>
        <v>CTC_OS_RIGHT</v>
      </c>
      <c r="D146" s="36" t="str">
        <f t="shared" ca="1" si="30"/>
        <v>Signal Head</v>
      </c>
      <c r="E146" s="36" t="str">
        <f t="shared" ca="1" si="31"/>
        <v>Throw</v>
      </c>
      <c r="F146" s="36" t="str">
        <f t="shared" ca="1" si="32"/>
        <v>OUT</v>
      </c>
      <c r="G146" s="36">
        <f t="shared" ca="1" si="33"/>
        <v>0</v>
      </c>
      <c r="H146" s="36" t="str">
        <f t="shared" ca="1" si="34"/>
        <v>CTC_OS_RIGHT:IMW:DWF:HEAD0:RED</v>
      </c>
      <c r="I146" s="49" t="e">
        <f ca="1">VLOOKUP(Mapping[[#This Row],[Object Name]],PCB_PIN_TABLE,2, FALSE)</f>
        <v>#N/A</v>
      </c>
      <c r="J146" s="36" t="str">
        <f ca="1">_xlfn.CONCAT(Mapping[[#This Row],[Module]], " ", Mapping[[#This Row],[Object Name]])</f>
        <v>CTC_OS_RIGHT CTC_OS_RIGHT:IMW:DWF:HEAD0:RED</v>
      </c>
      <c r="K146" s="36" t="str">
        <f t="shared" ca="1" si="27"/>
        <v>CTn030</v>
      </c>
      <c r="L146" s="36" t="str">
        <f t="shared" ca="1" si="28"/>
        <v>-</v>
      </c>
      <c r="M146" s="47"/>
      <c r="N146"/>
    </row>
    <row r="147" spans="1:14" x14ac:dyDescent="0.2">
      <c r="A147" s="46" t="s">
        <v>498</v>
      </c>
      <c r="B147" s="55">
        <f t="shared" si="26"/>
        <v>31</v>
      </c>
      <c r="C147" s="36" t="str">
        <f t="shared" ca="1" si="29"/>
        <v>CTC_OS_RIGHT</v>
      </c>
      <c r="D147" s="36" t="str">
        <f t="shared" ca="1" si="30"/>
        <v>Signal Head</v>
      </c>
      <c r="E147" s="36" t="str">
        <f t="shared" ca="1" si="31"/>
        <v>Throw</v>
      </c>
      <c r="F147" s="36" t="str">
        <f t="shared" ca="1" si="32"/>
        <v>OUT</v>
      </c>
      <c r="G147" s="36">
        <f t="shared" ca="1" si="33"/>
        <v>0</v>
      </c>
      <c r="H147" s="36" t="str">
        <f t="shared" ca="1" si="34"/>
        <v>CTC_OS_RIGHT:IMW:DWF:HEAD0:YEL</v>
      </c>
      <c r="I147" s="49" t="e">
        <f ca="1">VLOOKUP(Mapping[[#This Row],[Object Name]],PCB_PIN_TABLE,2, FALSE)</f>
        <v>#N/A</v>
      </c>
      <c r="J147" s="36" t="str">
        <f ca="1">_xlfn.CONCAT(Mapping[[#This Row],[Module]], " ", Mapping[[#This Row],[Object Name]])</f>
        <v>CTC_OS_RIGHT CTC_OS_RIGHT:IMW:DWF:HEAD0:YEL</v>
      </c>
      <c r="K147" s="36" t="str">
        <f t="shared" ca="1" si="27"/>
        <v>CTn031</v>
      </c>
      <c r="L147" s="36" t="str">
        <f t="shared" ca="1" si="28"/>
        <v>-</v>
      </c>
      <c r="M147" s="47"/>
      <c r="N147"/>
    </row>
    <row r="148" spans="1:14" x14ac:dyDescent="0.2">
      <c r="A148" s="46" t="s">
        <v>498</v>
      </c>
      <c r="B148" s="55">
        <f t="shared" si="26"/>
        <v>32</v>
      </c>
      <c r="C148" s="36" t="str">
        <f t="shared" ca="1" si="29"/>
        <v>CTC_OS_RIGHT</v>
      </c>
      <c r="D148" s="36" t="str">
        <f t="shared" ca="1" si="30"/>
        <v>Signal Head</v>
      </c>
      <c r="E148" s="36" t="str">
        <f t="shared" ca="1" si="31"/>
        <v>Throw</v>
      </c>
      <c r="F148" s="36" t="str">
        <f t="shared" ca="1" si="32"/>
        <v>OUT</v>
      </c>
      <c r="G148" s="36">
        <f t="shared" ca="1" si="33"/>
        <v>0</v>
      </c>
      <c r="H148" s="36" t="str">
        <f t="shared" ca="1" si="34"/>
        <v>CTC_OS_RIGHT:IMW:DWF:HEAD0:GRN</v>
      </c>
      <c r="I148" s="49" t="e">
        <f ca="1">VLOOKUP(Mapping[[#This Row],[Object Name]],PCB_PIN_TABLE,2, FALSE)</f>
        <v>#N/A</v>
      </c>
      <c r="J148" s="36" t="str">
        <f ca="1">_xlfn.CONCAT(Mapping[[#This Row],[Module]], " ", Mapping[[#This Row],[Object Name]])</f>
        <v>CTC_OS_RIGHT CTC_OS_RIGHT:IMW:DWF:HEAD0:GRN</v>
      </c>
      <c r="K148" s="36" t="str">
        <f t="shared" ca="1" si="27"/>
        <v>CTn032</v>
      </c>
      <c r="L148" s="36" t="str">
        <f t="shared" ca="1" si="28"/>
        <v>-</v>
      </c>
      <c r="M148" s="47"/>
      <c r="N148"/>
    </row>
    <row r="149" spans="1:14" x14ac:dyDescent="0.2">
      <c r="A149" s="46" t="s">
        <v>498</v>
      </c>
      <c r="B149" s="55">
        <f t="shared" si="26"/>
        <v>33</v>
      </c>
      <c r="C149" s="36" t="str">
        <f t="shared" ca="1" si="29"/>
        <v>CTC_OS_RIGHT</v>
      </c>
      <c r="D149" s="36" t="str">
        <f t="shared" ca="1" si="30"/>
        <v>Select Route Command</v>
      </c>
      <c r="E149" s="36" t="str">
        <f t="shared" ca="1" si="31"/>
        <v>Close</v>
      </c>
      <c r="F149" s="36" t="str">
        <f t="shared" ca="1" si="32"/>
        <v>OUT</v>
      </c>
      <c r="G149" s="36">
        <f t="shared" ca="1" si="33"/>
        <v>0</v>
      </c>
      <c r="H149" s="36" t="str">
        <f t="shared" ca="1" si="34"/>
        <v>CTC_OS_RIGHT:TO_SRC</v>
      </c>
      <c r="I149" s="49" t="e">
        <f ca="1">VLOOKUP(Mapping[[#This Row],[Object Name]],PCB_PIN_TABLE,2, FALSE)</f>
        <v>#N/A</v>
      </c>
      <c r="J149" s="36" t="str">
        <f ca="1">_xlfn.CONCAT(Mapping[[#This Row],[Module]], " ", Mapping[[#This Row],[Object Name]])</f>
        <v>CTC_OS_RIGHT CTC_OS_RIGHT:TO_SRC</v>
      </c>
      <c r="K149" s="36" t="str">
        <f t="shared" ca="1" si="27"/>
        <v>CTn033</v>
      </c>
      <c r="L149" s="36" t="str">
        <f t="shared" ca="1" si="28"/>
        <v>-</v>
      </c>
      <c r="M149" s="47"/>
      <c r="N149"/>
    </row>
    <row r="150" spans="1:14" x14ac:dyDescent="0.2">
      <c r="A150" s="46" t="s">
        <v>498</v>
      </c>
      <c r="B150" s="55">
        <f t="shared" si="26"/>
        <v>34</v>
      </c>
      <c r="C150" s="36" t="str">
        <f t="shared" ca="1" si="29"/>
        <v>CTC_OS_RIGHT</v>
      </c>
      <c r="D150" s="36" t="str">
        <f t="shared" ca="1" si="30"/>
        <v>Turnout Locked Light On</v>
      </c>
      <c r="E150" s="36" t="str">
        <f t="shared" ca="1" si="31"/>
        <v>Close</v>
      </c>
      <c r="F150" s="36" t="str">
        <f t="shared" ca="1" si="32"/>
        <v>OUT</v>
      </c>
      <c r="G150" s="36">
        <f t="shared" ca="1" si="33"/>
        <v>0</v>
      </c>
      <c r="H150" s="36" t="str">
        <f t="shared" ca="1" si="34"/>
        <v>CTC_OS_RIGHT:TO_TULO</v>
      </c>
      <c r="I150" s="49" t="e">
        <f ca="1">VLOOKUP(Mapping[[#This Row],[Object Name]],PCB_PIN_TABLE,2, FALSE)</f>
        <v>#N/A</v>
      </c>
      <c r="J150" s="36" t="str">
        <f ca="1">_xlfn.CONCAT(Mapping[[#This Row],[Module]], " ", Mapping[[#This Row],[Object Name]])</f>
        <v>CTC_OS_RIGHT CTC_OS_RIGHT:TO_TULO</v>
      </c>
      <c r="K150" s="36" t="str">
        <f t="shared" ca="1" si="27"/>
        <v>CTn034</v>
      </c>
      <c r="L150" s="36" t="str">
        <f t="shared" ca="1" si="28"/>
        <v>-</v>
      </c>
      <c r="M150" s="47"/>
      <c r="N150"/>
    </row>
    <row r="151" spans="1:14" x14ac:dyDescent="0.2">
      <c r="A151" s="46" t="s">
        <v>498</v>
      </c>
      <c r="B151" s="55">
        <f t="shared" si="26"/>
        <v>35</v>
      </c>
      <c r="C151" s="36" t="str">
        <f t="shared" ca="1" si="29"/>
        <v>Unassigned</v>
      </c>
      <c r="D151" s="36" t="str">
        <f t="shared" ca="1" si="30"/>
        <v>Unassigned</v>
      </c>
      <c r="E151" s="36">
        <f t="shared" ca="1" si="31"/>
        <v>0</v>
      </c>
      <c r="F151" s="36" t="str">
        <f t="shared" ca="1" si="32"/>
        <v>OUT</v>
      </c>
      <c r="G151" s="36">
        <f t="shared" ca="1" si="33"/>
        <v>0</v>
      </c>
      <c r="H151" s="36" t="str">
        <f t="shared" ca="1" si="34"/>
        <v>-</v>
      </c>
      <c r="I151" s="49" t="e">
        <f ca="1">VLOOKUP(Mapping[[#This Row],[Object Name]],PCB_PIN_TABLE,2, FALSE)</f>
        <v>#N/A</v>
      </c>
      <c r="J151" s="36" t="str">
        <f ca="1">_xlfn.CONCAT(Mapping[[#This Row],[Module]], " ", Mapping[[#This Row],[Object Name]])</f>
        <v>Unassigned -</v>
      </c>
      <c r="K151" s="36" t="str">
        <f t="shared" ca="1" si="27"/>
        <v>CTn035</v>
      </c>
      <c r="L151" s="36" t="str">
        <f t="shared" ca="1" si="28"/>
        <v>-</v>
      </c>
      <c r="M151" s="47"/>
      <c r="N151"/>
    </row>
    <row r="152" spans="1:14" x14ac:dyDescent="0.2">
      <c r="A152" s="46" t="s">
        <v>498</v>
      </c>
      <c r="B152" s="55">
        <f t="shared" si="26"/>
        <v>36</v>
      </c>
      <c r="C152" s="36" t="str">
        <f t="shared" ca="1" si="29"/>
        <v>Unassigned</v>
      </c>
      <c r="D152" s="36" t="str">
        <f t="shared" ca="1" si="30"/>
        <v>Unassigned</v>
      </c>
      <c r="E152" s="36">
        <f t="shared" ca="1" si="31"/>
        <v>0</v>
      </c>
      <c r="F152" s="36" t="str">
        <f t="shared" ca="1" si="32"/>
        <v>OUT</v>
      </c>
      <c r="G152" s="36">
        <f t="shared" ca="1" si="33"/>
        <v>0</v>
      </c>
      <c r="H152" s="36" t="str">
        <f t="shared" ca="1" si="34"/>
        <v>-</v>
      </c>
      <c r="I152" s="49" t="e">
        <f ca="1">VLOOKUP(Mapping[[#This Row],[Object Name]],PCB_PIN_TABLE,2, FALSE)</f>
        <v>#N/A</v>
      </c>
      <c r="J152" s="36" t="str">
        <f ca="1">_xlfn.CONCAT(Mapping[[#This Row],[Module]], " ", Mapping[[#This Row],[Object Name]])</f>
        <v>Unassigned -</v>
      </c>
      <c r="K152" s="36" t="str">
        <f t="shared" ca="1" si="27"/>
        <v>CTn036</v>
      </c>
      <c r="L152" s="36" t="str">
        <f t="shared" ca="1" si="28"/>
        <v>-</v>
      </c>
      <c r="M152" s="47"/>
      <c r="N152"/>
    </row>
    <row r="153" spans="1:14" x14ac:dyDescent="0.2">
      <c r="A153" s="46" t="s">
        <v>498</v>
      </c>
      <c r="B153" s="55">
        <f t="shared" si="26"/>
        <v>37</v>
      </c>
      <c r="C153" s="36" t="str">
        <f t="shared" ca="1" si="29"/>
        <v>Unassigned</v>
      </c>
      <c r="D153" s="36" t="str">
        <f t="shared" ca="1" si="30"/>
        <v>Unassigned</v>
      </c>
      <c r="E153" s="36">
        <f t="shared" ca="1" si="31"/>
        <v>0</v>
      </c>
      <c r="F153" s="36" t="str">
        <f t="shared" ca="1" si="32"/>
        <v>OUT</v>
      </c>
      <c r="G153" s="36">
        <f t="shared" ca="1" si="33"/>
        <v>0</v>
      </c>
      <c r="H153" s="36" t="str">
        <f t="shared" ca="1" si="34"/>
        <v>-</v>
      </c>
      <c r="I153" s="49" t="e">
        <f ca="1">VLOOKUP(Mapping[[#This Row],[Object Name]],PCB_PIN_TABLE,2, FALSE)</f>
        <v>#N/A</v>
      </c>
      <c r="J153" s="36" t="str">
        <f ca="1">_xlfn.CONCAT(Mapping[[#This Row],[Module]], " ", Mapping[[#This Row],[Object Name]])</f>
        <v>Unassigned -</v>
      </c>
      <c r="K153" s="36" t="str">
        <f t="shared" ca="1" si="27"/>
        <v>CSn037</v>
      </c>
      <c r="L153" s="36" t="str">
        <f t="shared" ca="1" si="28"/>
        <v>-</v>
      </c>
      <c r="M153" s="47"/>
      <c r="N153"/>
    </row>
    <row r="154" spans="1:14" x14ac:dyDescent="0.2">
      <c r="A154" s="46" t="s">
        <v>498</v>
      </c>
      <c r="B154" s="55">
        <f t="shared" si="26"/>
        <v>38</v>
      </c>
      <c r="C154" s="36" t="str">
        <f t="shared" ca="1" si="29"/>
        <v>Unassigned</v>
      </c>
      <c r="D154" s="36" t="str">
        <f t="shared" ca="1" si="30"/>
        <v>Unassigned</v>
      </c>
      <c r="E154" s="36">
        <f t="shared" ca="1" si="31"/>
        <v>0</v>
      </c>
      <c r="F154" s="36" t="str">
        <f t="shared" ca="1" si="32"/>
        <v>OUT</v>
      </c>
      <c r="G154" s="36">
        <f t="shared" ca="1" si="33"/>
        <v>0</v>
      </c>
      <c r="H154" s="36" t="str">
        <f t="shared" ca="1" si="34"/>
        <v>-</v>
      </c>
      <c r="I154" s="49" t="e">
        <f ca="1">VLOOKUP(Mapping[[#This Row],[Object Name]],PCB_PIN_TABLE,2, FALSE)</f>
        <v>#N/A</v>
      </c>
      <c r="J154" s="36" t="str">
        <f ca="1">_xlfn.CONCAT(Mapping[[#This Row],[Module]], " ", Mapping[[#This Row],[Object Name]])</f>
        <v>Unassigned -</v>
      </c>
      <c r="K154" s="36" t="str">
        <f t="shared" ca="1" si="27"/>
        <v>CTn038</v>
      </c>
      <c r="L154" s="36" t="str">
        <f t="shared" ca="1" si="28"/>
        <v>-</v>
      </c>
      <c r="M154" s="47"/>
      <c r="N154"/>
    </row>
    <row r="155" spans="1:14" x14ac:dyDescent="0.2">
      <c r="A155" s="46" t="s">
        <v>498</v>
      </c>
      <c r="B155" s="55">
        <f t="shared" si="26"/>
        <v>39</v>
      </c>
      <c r="C155" s="36" t="str">
        <f t="shared" ca="1" si="29"/>
        <v>Unassigned</v>
      </c>
      <c r="D155" s="36" t="str">
        <f t="shared" ca="1" si="30"/>
        <v>Unassigned</v>
      </c>
      <c r="E155" s="36">
        <f t="shared" ca="1" si="31"/>
        <v>0</v>
      </c>
      <c r="F155" s="36" t="str">
        <f t="shared" ca="1" si="32"/>
        <v>OUT</v>
      </c>
      <c r="G155" s="36">
        <f t="shared" ca="1" si="33"/>
        <v>0</v>
      </c>
      <c r="H155" s="36" t="str">
        <f t="shared" ca="1" si="34"/>
        <v>-</v>
      </c>
      <c r="I155" s="49" t="e">
        <f ca="1">VLOOKUP(Mapping[[#This Row],[Object Name]],PCB_PIN_TABLE,2, FALSE)</f>
        <v>#N/A</v>
      </c>
      <c r="J155" s="36" t="str">
        <f ca="1">_xlfn.CONCAT(Mapping[[#This Row],[Module]], " ", Mapping[[#This Row],[Object Name]])</f>
        <v>Unassigned -</v>
      </c>
      <c r="K155" s="36" t="str">
        <f t="shared" ca="1" si="27"/>
        <v>CTn039</v>
      </c>
      <c r="L155" s="36" t="str">
        <f t="shared" ca="1" si="28"/>
        <v>-</v>
      </c>
      <c r="M155" s="47"/>
      <c r="N155"/>
    </row>
    <row r="156" spans="1:14" x14ac:dyDescent="0.2">
      <c r="A156" s="46" t="s">
        <v>498</v>
      </c>
      <c r="B156" s="55">
        <f t="shared" si="26"/>
        <v>40</v>
      </c>
      <c r="C156" s="36" t="str">
        <f t="shared" ca="1" si="29"/>
        <v>Unassigned</v>
      </c>
      <c r="D156" s="36" t="str">
        <f t="shared" ca="1" si="30"/>
        <v>Unassigned</v>
      </c>
      <c r="E156" s="36">
        <f t="shared" ca="1" si="31"/>
        <v>0</v>
      </c>
      <c r="F156" s="36" t="str">
        <f t="shared" ca="1" si="32"/>
        <v>OUT</v>
      </c>
      <c r="G156" s="36">
        <f t="shared" ca="1" si="33"/>
        <v>0</v>
      </c>
      <c r="H156" s="36" t="str">
        <f t="shared" ca="1" si="34"/>
        <v>-</v>
      </c>
      <c r="I156" s="49" t="e">
        <f ca="1">VLOOKUP(Mapping[[#This Row],[Object Name]],PCB_PIN_TABLE,2, FALSE)</f>
        <v>#N/A</v>
      </c>
      <c r="J156" s="36" t="str">
        <f ca="1">_xlfn.CONCAT(Mapping[[#This Row],[Module]], " ", Mapping[[#This Row],[Object Name]])</f>
        <v>Unassigned -</v>
      </c>
      <c r="K156" s="36" t="str">
        <f t="shared" ca="1" si="27"/>
        <v>CTn040</v>
      </c>
      <c r="L156" s="36" t="str">
        <f t="shared" ca="1" si="28"/>
        <v>-</v>
      </c>
      <c r="M156" s="47"/>
      <c r="N156"/>
    </row>
    <row r="157" spans="1:14" x14ac:dyDescent="0.2">
      <c r="A157" s="46" t="s">
        <v>498</v>
      </c>
      <c r="B157" s="55">
        <f t="shared" si="26"/>
        <v>41</v>
      </c>
      <c r="C157" s="36" t="str">
        <f t="shared" ca="1" si="29"/>
        <v>Unassigned</v>
      </c>
      <c r="D157" s="36" t="str">
        <f t="shared" ca="1" si="30"/>
        <v>Unassigned</v>
      </c>
      <c r="E157" s="36">
        <f t="shared" ca="1" si="31"/>
        <v>0</v>
      </c>
      <c r="F157" s="36" t="str">
        <f t="shared" ca="1" si="32"/>
        <v>OUT</v>
      </c>
      <c r="G157" s="36">
        <f t="shared" ca="1" si="33"/>
        <v>0</v>
      </c>
      <c r="H157" s="36" t="str">
        <f t="shared" ca="1" si="34"/>
        <v>-</v>
      </c>
      <c r="I157" s="49" t="e">
        <f ca="1">VLOOKUP(Mapping[[#This Row],[Object Name]],PCB_PIN_TABLE,2, FALSE)</f>
        <v>#N/A</v>
      </c>
      <c r="J157" s="36" t="str">
        <f ca="1">_xlfn.CONCAT(Mapping[[#This Row],[Module]], " ", Mapping[[#This Row],[Object Name]])</f>
        <v>Unassigned -</v>
      </c>
      <c r="K157" s="36" t="str">
        <f t="shared" ca="1" si="27"/>
        <v>CTn041</v>
      </c>
      <c r="L157" s="36" t="str">
        <f t="shared" ca="1" si="28"/>
        <v>-</v>
      </c>
      <c r="M157" s="47"/>
      <c r="N157"/>
    </row>
    <row r="158" spans="1:14" x14ac:dyDescent="0.2">
      <c r="A158" s="46" t="s">
        <v>498</v>
      </c>
      <c r="B158" s="55">
        <f t="shared" si="26"/>
        <v>42</v>
      </c>
      <c r="C158" s="36" t="str">
        <f t="shared" ca="1" si="29"/>
        <v>Unassigned</v>
      </c>
      <c r="D158" s="36" t="str">
        <f t="shared" ca="1" si="30"/>
        <v>Unassigned</v>
      </c>
      <c r="E158" s="36">
        <f t="shared" ca="1" si="31"/>
        <v>0</v>
      </c>
      <c r="F158" s="36" t="str">
        <f t="shared" ca="1" si="32"/>
        <v>OUT</v>
      </c>
      <c r="G158" s="36">
        <f t="shared" ca="1" si="33"/>
        <v>0</v>
      </c>
      <c r="H158" s="36" t="str">
        <f t="shared" ca="1" si="34"/>
        <v>-</v>
      </c>
      <c r="I158" s="49" t="e">
        <f ca="1">VLOOKUP(Mapping[[#This Row],[Object Name]],PCB_PIN_TABLE,2, FALSE)</f>
        <v>#N/A</v>
      </c>
      <c r="J158" s="36" t="str">
        <f ca="1">_xlfn.CONCAT(Mapping[[#This Row],[Module]], " ", Mapping[[#This Row],[Object Name]])</f>
        <v>Unassigned -</v>
      </c>
      <c r="K158" s="36" t="str">
        <f t="shared" ca="1" si="27"/>
        <v>CTn042</v>
      </c>
      <c r="L158" s="36" t="str">
        <f t="shared" ca="1" si="28"/>
        <v>-</v>
      </c>
      <c r="M158" s="47"/>
      <c r="N158"/>
    </row>
    <row r="159" spans="1:14" x14ac:dyDescent="0.2">
      <c r="A159" s="46" t="s">
        <v>498</v>
      </c>
      <c r="B159" s="55">
        <f t="shared" si="26"/>
        <v>43</v>
      </c>
      <c r="C159" s="36" t="str">
        <f t="shared" ca="1" si="29"/>
        <v>Unassigned</v>
      </c>
      <c r="D159" s="36" t="str">
        <f t="shared" ca="1" si="30"/>
        <v>Unassigned</v>
      </c>
      <c r="E159" s="36">
        <f t="shared" ca="1" si="31"/>
        <v>0</v>
      </c>
      <c r="F159" s="36" t="str">
        <f t="shared" ca="1" si="32"/>
        <v>OUT</v>
      </c>
      <c r="G159" s="36">
        <f t="shared" ca="1" si="33"/>
        <v>0</v>
      </c>
      <c r="H159" s="36" t="str">
        <f t="shared" ca="1" si="34"/>
        <v>-</v>
      </c>
      <c r="I159" s="49" t="e">
        <f ca="1">VLOOKUP(Mapping[[#This Row],[Object Name]],PCB_PIN_TABLE,2, FALSE)</f>
        <v>#N/A</v>
      </c>
      <c r="J159" s="36" t="str">
        <f ca="1">_xlfn.CONCAT(Mapping[[#This Row],[Module]], " ", Mapping[[#This Row],[Object Name]])</f>
        <v>Unassigned -</v>
      </c>
      <c r="K159" s="36" t="str">
        <f t="shared" ca="1" si="27"/>
        <v>CTn043</v>
      </c>
      <c r="L159" s="36" t="str">
        <f t="shared" ca="1" si="28"/>
        <v>-</v>
      </c>
      <c r="M159" s="47"/>
      <c r="N159"/>
    </row>
    <row r="160" spans="1:14" x14ac:dyDescent="0.2">
      <c r="A160" s="46" t="s">
        <v>498</v>
      </c>
      <c r="B160" s="55">
        <f t="shared" si="26"/>
        <v>44</v>
      </c>
      <c r="C160" s="36" t="str">
        <f t="shared" ca="1" si="29"/>
        <v>Unassigned</v>
      </c>
      <c r="D160" s="36" t="str">
        <f t="shared" ca="1" si="30"/>
        <v>Unassigned</v>
      </c>
      <c r="E160" s="36">
        <f t="shared" ca="1" si="31"/>
        <v>0</v>
      </c>
      <c r="F160" s="36" t="str">
        <f t="shared" ca="1" si="32"/>
        <v>OUT</v>
      </c>
      <c r="G160" s="36">
        <f t="shared" ca="1" si="33"/>
        <v>0</v>
      </c>
      <c r="H160" s="36" t="str">
        <f t="shared" ca="1" si="34"/>
        <v>-</v>
      </c>
      <c r="I160" s="49" t="e">
        <f ca="1">VLOOKUP(Mapping[[#This Row],[Object Name]],PCB_PIN_TABLE,2, FALSE)</f>
        <v>#N/A</v>
      </c>
      <c r="J160" s="36" t="str">
        <f ca="1">_xlfn.CONCAT(Mapping[[#This Row],[Module]], " ", Mapping[[#This Row],[Object Name]])</f>
        <v>Unassigned -</v>
      </c>
      <c r="K160" s="36" t="str">
        <f t="shared" ca="1" si="27"/>
        <v>CTn044</v>
      </c>
      <c r="L160" s="36" t="str">
        <f t="shared" ca="1" si="28"/>
        <v>-</v>
      </c>
      <c r="M160" s="47"/>
      <c r="N160"/>
    </row>
    <row r="161" spans="1:14" x14ac:dyDescent="0.2">
      <c r="A161" s="46" t="s">
        <v>498</v>
      </c>
      <c r="B161" s="55">
        <f t="shared" si="26"/>
        <v>45</v>
      </c>
      <c r="C161" s="36" t="str">
        <f t="shared" ca="1" si="29"/>
        <v>Unassigned</v>
      </c>
      <c r="D161" s="36" t="str">
        <f t="shared" ca="1" si="30"/>
        <v>Unassigned</v>
      </c>
      <c r="E161" s="36">
        <f t="shared" ca="1" si="31"/>
        <v>0</v>
      </c>
      <c r="F161" s="36" t="str">
        <f t="shared" ca="1" si="32"/>
        <v>OUT</v>
      </c>
      <c r="G161" s="36">
        <f t="shared" ca="1" si="33"/>
        <v>0</v>
      </c>
      <c r="H161" s="36" t="str">
        <f t="shared" ca="1" si="34"/>
        <v>-</v>
      </c>
      <c r="I161" s="49" t="e">
        <f ca="1">VLOOKUP(Mapping[[#This Row],[Object Name]],PCB_PIN_TABLE,2, FALSE)</f>
        <v>#N/A</v>
      </c>
      <c r="J161" s="36" t="str">
        <f ca="1">_xlfn.CONCAT(Mapping[[#This Row],[Module]], " ", Mapping[[#This Row],[Object Name]])</f>
        <v>Unassigned -</v>
      </c>
      <c r="K161" s="36" t="str">
        <f t="shared" ca="1" si="27"/>
        <v>CTn045</v>
      </c>
      <c r="L161" s="36" t="str">
        <f t="shared" ca="1" si="28"/>
        <v>-</v>
      </c>
      <c r="M161" s="47"/>
      <c r="N161"/>
    </row>
    <row r="162" spans="1:14" x14ac:dyDescent="0.2">
      <c r="A162" s="46" t="s">
        <v>498</v>
      </c>
      <c r="B162" s="55">
        <f t="shared" si="26"/>
        <v>46</v>
      </c>
      <c r="C162" s="36" t="str">
        <f t="shared" ca="1" si="29"/>
        <v>Unassigned</v>
      </c>
      <c r="D162" s="36" t="str">
        <f t="shared" ca="1" si="30"/>
        <v>Unassigned</v>
      </c>
      <c r="E162" s="36">
        <f t="shared" ca="1" si="31"/>
        <v>0</v>
      </c>
      <c r="F162" s="36" t="str">
        <f t="shared" ca="1" si="32"/>
        <v>OUT</v>
      </c>
      <c r="G162" s="36">
        <f t="shared" ca="1" si="33"/>
        <v>0</v>
      </c>
      <c r="H162" s="36" t="str">
        <f t="shared" ca="1" si="34"/>
        <v>-</v>
      </c>
      <c r="I162" s="49" t="e">
        <f ca="1">VLOOKUP(Mapping[[#This Row],[Object Name]],PCB_PIN_TABLE,2, FALSE)</f>
        <v>#N/A</v>
      </c>
      <c r="J162" s="36" t="str">
        <f ca="1">_xlfn.CONCAT(Mapping[[#This Row],[Module]], " ", Mapping[[#This Row],[Object Name]])</f>
        <v>Unassigned -</v>
      </c>
      <c r="K162" s="36" t="str">
        <f t="shared" ca="1" si="27"/>
        <v>CTn046</v>
      </c>
      <c r="L162" s="36" t="str">
        <f t="shared" ca="1" si="28"/>
        <v>-</v>
      </c>
      <c r="M162" s="47"/>
      <c r="N162"/>
    </row>
    <row r="163" spans="1:14" x14ac:dyDescent="0.2">
      <c r="A163" s="46" t="s">
        <v>498</v>
      </c>
      <c r="B163" s="55">
        <f t="shared" si="26"/>
        <v>47</v>
      </c>
      <c r="C163" s="36" t="str">
        <f t="shared" ca="1" si="29"/>
        <v>Unassigned</v>
      </c>
      <c r="D163" s="36" t="str">
        <f t="shared" ca="1" si="30"/>
        <v>Unassigned</v>
      </c>
      <c r="E163" s="36">
        <f t="shared" ca="1" si="31"/>
        <v>0</v>
      </c>
      <c r="F163" s="36" t="str">
        <f t="shared" ca="1" si="32"/>
        <v>OUT</v>
      </c>
      <c r="G163" s="36">
        <f t="shared" ca="1" si="33"/>
        <v>0</v>
      </c>
      <c r="H163" s="36" t="str">
        <f t="shared" ca="1" si="34"/>
        <v>-</v>
      </c>
      <c r="I163" s="49" t="e">
        <f ca="1">VLOOKUP(Mapping[[#This Row],[Object Name]],PCB_PIN_TABLE,2, FALSE)</f>
        <v>#N/A</v>
      </c>
      <c r="J163" s="36" t="str">
        <f ca="1">_xlfn.CONCAT(Mapping[[#This Row],[Module]], " ", Mapping[[#This Row],[Object Name]])</f>
        <v>Unassigned -</v>
      </c>
      <c r="K163" s="36" t="str">
        <f t="shared" ca="1" si="27"/>
        <v>CTn047</v>
      </c>
      <c r="L163" s="36" t="str">
        <f t="shared" ca="1" si="28"/>
        <v>-</v>
      </c>
      <c r="M163" s="47"/>
      <c r="N163"/>
    </row>
    <row r="164" spans="1:14" x14ac:dyDescent="0.2">
      <c r="A164" s="46" t="s">
        <v>498</v>
      </c>
      <c r="B164" s="55">
        <f t="shared" si="26"/>
        <v>48</v>
      </c>
      <c r="C164" s="36" t="str">
        <f t="shared" ca="1" si="29"/>
        <v>Unassigned</v>
      </c>
      <c r="D164" s="36" t="str">
        <f t="shared" ca="1" si="30"/>
        <v>Unassigned</v>
      </c>
      <c r="E164" s="36">
        <f t="shared" ca="1" si="31"/>
        <v>0</v>
      </c>
      <c r="F164" s="36" t="str">
        <f t="shared" ca="1" si="32"/>
        <v>OUT</v>
      </c>
      <c r="G164" s="36">
        <f t="shared" ca="1" si="33"/>
        <v>0</v>
      </c>
      <c r="H164" s="36" t="str">
        <f t="shared" ca="1" si="34"/>
        <v>-</v>
      </c>
      <c r="I164" s="49" t="e">
        <f ca="1">VLOOKUP(Mapping[[#This Row],[Object Name]],PCB_PIN_TABLE,2, FALSE)</f>
        <v>#N/A</v>
      </c>
      <c r="J164" s="36" t="str">
        <f ca="1">_xlfn.CONCAT(Mapping[[#This Row],[Module]], " ", Mapping[[#This Row],[Object Name]])</f>
        <v>Unassigned -</v>
      </c>
      <c r="K164" s="36" t="str">
        <f t="shared" ca="1" si="27"/>
        <v>CTn048</v>
      </c>
      <c r="L164" s="36" t="str">
        <f t="shared" ca="1" si="28"/>
        <v>-</v>
      </c>
      <c r="M164" s="47"/>
      <c r="N164"/>
    </row>
    <row r="165" spans="1:14" x14ac:dyDescent="0.2">
      <c r="A165" s="46" t="s">
        <v>499</v>
      </c>
      <c r="B165" s="55">
        <f t="shared" ref="B165" si="35">IF(A164&lt;&gt;A165,1,B164+1)</f>
        <v>1</v>
      </c>
      <c r="C165" s="36" t="str">
        <f t="shared" ca="1" si="29"/>
        <v>CTC_XOVR_RIGHT</v>
      </c>
      <c r="D165" s="36" t="str">
        <f t="shared" ca="1" si="30"/>
        <v>Occupied Report</v>
      </c>
      <c r="E165" s="36" t="str">
        <f t="shared" ca="1" si="31"/>
        <v>Throw</v>
      </c>
      <c r="F165" s="36" t="str">
        <f t="shared" ca="1" si="32"/>
        <v>IN</v>
      </c>
      <c r="G165" s="36">
        <f t="shared" ca="1" si="33"/>
        <v>0</v>
      </c>
      <c r="H165" s="36" t="str">
        <f t="shared" ca="1" si="34"/>
        <v>CTC_XOVR_RIGHT:OME:TS1</v>
      </c>
      <c r="I165" s="49" t="e">
        <f ca="1">VLOOKUP(Mapping[[#This Row],[Object Name]],PCB_PIN_TABLE,2, FALSE)</f>
        <v>#N/A</v>
      </c>
      <c r="J165" s="36" t="str">
        <f ca="1">_xlfn.CONCAT(Mapping[[#This Row],[Module]], " ", Mapping[[#This Row],[Object Name]])</f>
        <v>CTC_XOVR_RIGHT CTC_XOVR_RIGHT:OME:TS1</v>
      </c>
      <c r="K165" s="36" t="str">
        <f t="shared" ca="1" si="27"/>
        <v>CSn001</v>
      </c>
      <c r="L165" s="36" t="str">
        <f t="shared" ca="1" si="28"/>
        <v>-</v>
      </c>
      <c r="M165" s="47"/>
      <c r="N165"/>
    </row>
    <row r="166" spans="1:14" x14ac:dyDescent="0.2">
      <c r="A166" s="46" t="s">
        <v>499</v>
      </c>
      <c r="B166" s="55">
        <f t="shared" ref="B166:B213" si="36">IF(A165&lt;&gt;A166,1,B165+1)</f>
        <v>2</v>
      </c>
      <c r="C166" s="36" t="str">
        <f t="shared" ca="1" si="29"/>
        <v>CTC_XOVR_RIGHT</v>
      </c>
      <c r="D166" s="36" t="str">
        <f t="shared" ca="1" si="30"/>
        <v>Occupied Report</v>
      </c>
      <c r="E166" s="36" t="str">
        <f t="shared" ca="1" si="31"/>
        <v>Throw</v>
      </c>
      <c r="F166" s="36" t="str">
        <f t="shared" ca="1" si="32"/>
        <v>IN</v>
      </c>
      <c r="G166" s="36">
        <f t="shared" ca="1" si="33"/>
        <v>0</v>
      </c>
      <c r="H166" s="36" t="str">
        <f t="shared" ca="1" si="34"/>
        <v>CTC_XOVR_RIGHT:OME:TS2</v>
      </c>
      <c r="I166" s="49" t="e">
        <f ca="1">VLOOKUP(Mapping[[#This Row],[Object Name]],PCB_PIN_TABLE,2, FALSE)</f>
        <v>#N/A</v>
      </c>
      <c r="J166" s="36" t="str">
        <f ca="1">_xlfn.CONCAT(Mapping[[#This Row],[Module]], " ", Mapping[[#This Row],[Object Name]])</f>
        <v>CTC_XOVR_RIGHT CTC_XOVR_RIGHT:OME:TS2</v>
      </c>
      <c r="K166" s="36" t="str">
        <f t="shared" ca="1" si="27"/>
        <v>CSn002</v>
      </c>
      <c r="L166" s="36" t="str">
        <f t="shared" ca="1" si="28"/>
        <v>-</v>
      </c>
      <c r="M166" s="47"/>
      <c r="N166"/>
    </row>
    <row r="167" spans="1:14" x14ac:dyDescent="0.2">
      <c r="A167" s="46" t="s">
        <v>499</v>
      </c>
      <c r="B167" s="55">
        <f t="shared" si="36"/>
        <v>3</v>
      </c>
      <c r="C167" s="36" t="str">
        <f t="shared" ca="1" si="29"/>
        <v>Unassigned</v>
      </c>
      <c r="D167" s="36" t="str">
        <f t="shared" ca="1" si="30"/>
        <v>Unassigned</v>
      </c>
      <c r="E167" s="36">
        <f t="shared" ca="1" si="31"/>
        <v>0</v>
      </c>
      <c r="F167" s="36" t="str">
        <f t="shared" ca="1" si="32"/>
        <v>IN</v>
      </c>
      <c r="G167" s="36">
        <f t="shared" ca="1" si="33"/>
        <v>0</v>
      </c>
      <c r="H167" s="36" t="str">
        <f t="shared" ca="1" si="34"/>
        <v>-</v>
      </c>
      <c r="I167" s="49" t="e">
        <f ca="1">VLOOKUP(Mapping[[#This Row],[Object Name]],PCB_PIN_TABLE,2, FALSE)</f>
        <v>#N/A</v>
      </c>
      <c r="J167" s="36" t="str">
        <f ca="1">_xlfn.CONCAT(Mapping[[#This Row],[Module]], " ", Mapping[[#This Row],[Object Name]])</f>
        <v>Unassigned -</v>
      </c>
      <c r="K167" s="36" t="str">
        <f t="shared" ca="1" si="27"/>
        <v>CSn003</v>
      </c>
      <c r="L167" s="36" t="str">
        <f t="shared" ca="1" si="28"/>
        <v>-</v>
      </c>
      <c r="M167" s="47"/>
      <c r="N167"/>
    </row>
    <row r="168" spans="1:14" x14ac:dyDescent="0.2">
      <c r="A168" s="46" t="s">
        <v>499</v>
      </c>
      <c r="B168" s="55">
        <f t="shared" si="36"/>
        <v>4</v>
      </c>
      <c r="C168" s="36" t="str">
        <f t="shared" ca="1" si="29"/>
        <v>Unassigned</v>
      </c>
      <c r="D168" s="36" t="str">
        <f t="shared" ca="1" si="30"/>
        <v>Unassigned</v>
      </c>
      <c r="E168" s="36">
        <f t="shared" ca="1" si="31"/>
        <v>0</v>
      </c>
      <c r="F168" s="36" t="str">
        <f t="shared" ca="1" si="32"/>
        <v>IN</v>
      </c>
      <c r="G168" s="36">
        <f t="shared" ca="1" si="33"/>
        <v>0</v>
      </c>
      <c r="H168" s="36" t="str">
        <f t="shared" ca="1" si="34"/>
        <v>-</v>
      </c>
      <c r="I168" s="49" t="e">
        <f ca="1">VLOOKUP(Mapping[[#This Row],[Object Name]],PCB_PIN_TABLE,2, FALSE)</f>
        <v>#N/A</v>
      </c>
      <c r="J168" s="36" t="str">
        <f ca="1">_xlfn.CONCAT(Mapping[[#This Row],[Module]], " ", Mapping[[#This Row],[Object Name]])</f>
        <v>Unassigned -</v>
      </c>
      <c r="K168" s="36" t="str">
        <f t="shared" ca="1" si="27"/>
        <v>CSn004</v>
      </c>
      <c r="L168" s="36" t="str">
        <f t="shared" ca="1" si="28"/>
        <v>-</v>
      </c>
      <c r="M168" s="47"/>
      <c r="N168"/>
    </row>
    <row r="169" spans="1:14" x14ac:dyDescent="0.2">
      <c r="A169" s="46" t="s">
        <v>499</v>
      </c>
      <c r="B169" s="55">
        <f t="shared" si="36"/>
        <v>5</v>
      </c>
      <c r="C169" s="36" t="str">
        <f t="shared" ca="1" si="29"/>
        <v>CTC_XOVR_RIGHT</v>
      </c>
      <c r="D169" s="36" t="str">
        <f t="shared" ca="1" si="30"/>
        <v>Occupied Report</v>
      </c>
      <c r="E169" s="36" t="str">
        <f t="shared" ca="1" si="31"/>
        <v>Throw</v>
      </c>
      <c r="F169" s="36" t="str">
        <f t="shared" ca="1" si="32"/>
        <v>IN</v>
      </c>
      <c r="G169" s="36">
        <f t="shared" ca="1" si="33"/>
        <v>0</v>
      </c>
      <c r="H169" s="36" t="str">
        <f t="shared" ca="1" si="34"/>
        <v>CTC_XOVR_RIGHT:IMW:TS1</v>
      </c>
      <c r="I169" s="49" t="e">
        <f ca="1">VLOOKUP(Mapping[[#This Row],[Object Name]],PCB_PIN_TABLE,2, FALSE)</f>
        <v>#N/A</v>
      </c>
      <c r="J169" s="36" t="str">
        <f ca="1">_xlfn.CONCAT(Mapping[[#This Row],[Module]], " ", Mapping[[#This Row],[Object Name]])</f>
        <v>CTC_XOVR_RIGHT CTC_XOVR_RIGHT:IMW:TS1</v>
      </c>
      <c r="K169" s="36" t="str">
        <f t="shared" ca="1" si="27"/>
        <v>CSn005</v>
      </c>
      <c r="L169" s="36" t="str">
        <f t="shared" ca="1" si="28"/>
        <v>-</v>
      </c>
      <c r="M169" s="47"/>
      <c r="N169"/>
    </row>
    <row r="170" spans="1:14" x14ac:dyDescent="0.2">
      <c r="A170" s="46" t="s">
        <v>499</v>
      </c>
      <c r="B170" s="55">
        <f t="shared" si="36"/>
        <v>6</v>
      </c>
      <c r="C170" s="36" t="str">
        <f t="shared" ca="1" si="29"/>
        <v>CTC_XOVR_RIGHT</v>
      </c>
      <c r="D170" s="36" t="str">
        <f t="shared" ca="1" si="30"/>
        <v>Occupied Report</v>
      </c>
      <c r="E170" s="36" t="str">
        <f t="shared" ca="1" si="31"/>
        <v>Throw</v>
      </c>
      <c r="F170" s="36" t="str">
        <f t="shared" ca="1" si="32"/>
        <v>IN</v>
      </c>
      <c r="G170" s="36">
        <f t="shared" ca="1" si="33"/>
        <v>0</v>
      </c>
      <c r="H170" s="36" t="str">
        <f t="shared" ca="1" si="34"/>
        <v>CTC_XOVR_RIGHT:IMW:TS2</v>
      </c>
      <c r="I170" s="49" t="e">
        <f ca="1">VLOOKUP(Mapping[[#This Row],[Object Name]],PCB_PIN_TABLE,2, FALSE)</f>
        <v>#N/A</v>
      </c>
      <c r="J170" s="36" t="str">
        <f ca="1">_xlfn.CONCAT(Mapping[[#This Row],[Module]], " ", Mapping[[#This Row],[Object Name]])</f>
        <v>CTC_XOVR_RIGHT CTC_XOVR_RIGHT:IMW:TS2</v>
      </c>
      <c r="K170" s="36" t="str">
        <f t="shared" ca="1" si="27"/>
        <v>CSn006</v>
      </c>
      <c r="L170" s="36" t="str">
        <f t="shared" ca="1" si="28"/>
        <v>-</v>
      </c>
      <c r="M170" s="47"/>
      <c r="N170"/>
    </row>
    <row r="171" spans="1:14" x14ac:dyDescent="0.2">
      <c r="A171" s="46" t="s">
        <v>499</v>
      </c>
      <c r="B171" s="55">
        <f t="shared" si="36"/>
        <v>7</v>
      </c>
      <c r="C171" s="36" t="str">
        <f t="shared" ca="1" si="29"/>
        <v>Unassigned</v>
      </c>
      <c r="D171" s="36" t="str">
        <f t="shared" ca="1" si="30"/>
        <v>Unassigned</v>
      </c>
      <c r="E171" s="36">
        <f t="shared" ca="1" si="31"/>
        <v>0</v>
      </c>
      <c r="F171" s="36" t="str">
        <f t="shared" ca="1" si="32"/>
        <v>IN</v>
      </c>
      <c r="G171" s="36">
        <f t="shared" ca="1" si="33"/>
        <v>0</v>
      </c>
      <c r="H171" s="36" t="str">
        <f t="shared" ca="1" si="34"/>
        <v>-</v>
      </c>
      <c r="I171" s="49" t="e">
        <f ca="1">VLOOKUP(Mapping[[#This Row],[Object Name]],PCB_PIN_TABLE,2, FALSE)</f>
        <v>#N/A</v>
      </c>
      <c r="J171" s="36" t="str">
        <f ca="1">_xlfn.CONCAT(Mapping[[#This Row],[Module]], " ", Mapping[[#This Row],[Object Name]])</f>
        <v>Unassigned -</v>
      </c>
      <c r="K171" s="36" t="str">
        <f t="shared" ca="1" si="27"/>
        <v>CSn007</v>
      </c>
      <c r="L171" s="36" t="str">
        <f t="shared" ca="1" si="28"/>
        <v>-</v>
      </c>
      <c r="M171" s="47"/>
      <c r="N171"/>
    </row>
    <row r="172" spans="1:14" x14ac:dyDescent="0.2">
      <c r="A172" s="46" t="s">
        <v>499</v>
      </c>
      <c r="B172" s="55">
        <f t="shared" si="36"/>
        <v>8</v>
      </c>
      <c r="C172" s="36" t="str">
        <f t="shared" ca="1" si="29"/>
        <v>Unassigned</v>
      </c>
      <c r="D172" s="36" t="str">
        <f t="shared" ca="1" si="30"/>
        <v>Unassigned</v>
      </c>
      <c r="E172" s="36">
        <f t="shared" ca="1" si="31"/>
        <v>0</v>
      </c>
      <c r="F172" s="36" t="str">
        <f t="shared" ca="1" si="32"/>
        <v>IN</v>
      </c>
      <c r="G172" s="36">
        <f t="shared" ca="1" si="33"/>
        <v>0</v>
      </c>
      <c r="H172" s="36" t="str">
        <f t="shared" ca="1" si="34"/>
        <v>-</v>
      </c>
      <c r="I172" s="49" t="e">
        <f ca="1">VLOOKUP(Mapping[[#This Row],[Object Name]],PCB_PIN_TABLE,2, FALSE)</f>
        <v>#N/A</v>
      </c>
      <c r="J172" s="36" t="str">
        <f ca="1">_xlfn.CONCAT(Mapping[[#This Row],[Module]], " ", Mapping[[#This Row],[Object Name]])</f>
        <v>Unassigned -</v>
      </c>
      <c r="K172" s="36" t="str">
        <f t="shared" ca="1" si="27"/>
        <v>CSn008</v>
      </c>
      <c r="L172" s="36" t="str">
        <f t="shared" ca="1" si="28"/>
        <v>-</v>
      </c>
      <c r="M172" s="47"/>
      <c r="N172"/>
    </row>
    <row r="173" spans="1:14" x14ac:dyDescent="0.2">
      <c r="A173" s="46" t="s">
        <v>499</v>
      </c>
      <c r="B173" s="55">
        <f t="shared" si="36"/>
        <v>9</v>
      </c>
      <c r="C173" s="36" t="str">
        <f t="shared" ca="1" si="29"/>
        <v>CTC_XOVR_RIGHT</v>
      </c>
      <c r="D173" s="36" t="str">
        <f t="shared" ca="1" si="30"/>
        <v>Route Selected Report</v>
      </c>
      <c r="E173" s="36" t="str">
        <f t="shared" ca="1" si="31"/>
        <v>Close</v>
      </c>
      <c r="F173" s="36" t="str">
        <f t="shared" ca="1" si="32"/>
        <v>IN</v>
      </c>
      <c r="G173" s="36">
        <f t="shared" ca="1" si="33"/>
        <v>0</v>
      </c>
      <c r="H173" s="36" t="str">
        <f t="shared" ca="1" si="34"/>
        <v>CTC_XOVR_RIGHT:TO_RSR</v>
      </c>
      <c r="I173" s="49" t="e">
        <f ca="1">VLOOKUP(Mapping[[#This Row],[Object Name]],PCB_PIN_TABLE,2, FALSE)</f>
        <v>#N/A</v>
      </c>
      <c r="J173" s="36" t="str">
        <f ca="1">_xlfn.CONCAT(Mapping[[#This Row],[Module]], " ", Mapping[[#This Row],[Object Name]])</f>
        <v>CTC_XOVR_RIGHT CTC_XOVR_RIGHT:TO_RSR</v>
      </c>
      <c r="K173" s="36" t="str">
        <f t="shared" ca="1" si="27"/>
        <v>CSn009</v>
      </c>
      <c r="L173" s="36" t="str">
        <f t="shared" ca="1" si="28"/>
        <v>-</v>
      </c>
      <c r="M173" s="47"/>
    </row>
    <row r="174" spans="1:14" x14ac:dyDescent="0.2">
      <c r="A174" s="46" t="s">
        <v>499</v>
      </c>
      <c r="B174" s="55">
        <f t="shared" si="36"/>
        <v>10</v>
      </c>
      <c r="C174" s="36" t="str">
        <f t="shared" ca="1" si="29"/>
        <v>CTC_XOVR_RIGHT</v>
      </c>
      <c r="D174" s="36" t="str">
        <f t="shared" ca="1" si="30"/>
        <v>Route Unselected Report</v>
      </c>
      <c r="E174" s="36" t="str">
        <f t="shared" ca="1" si="31"/>
        <v>Close</v>
      </c>
      <c r="F174" s="36" t="str">
        <f t="shared" ca="1" si="32"/>
        <v>IN</v>
      </c>
      <c r="G174" s="36">
        <f t="shared" ca="1" si="33"/>
        <v>0</v>
      </c>
      <c r="H174" s="36" t="str">
        <f t="shared" ca="1" si="34"/>
        <v>CTC_XOVR_RIGHT:TO_RUR</v>
      </c>
      <c r="I174" s="49" t="e">
        <f ca="1">VLOOKUP(Mapping[[#This Row],[Object Name]],PCB_PIN_TABLE,2, FALSE)</f>
        <v>#N/A</v>
      </c>
      <c r="J174" s="36" t="str">
        <f ca="1">_xlfn.CONCAT(Mapping[[#This Row],[Module]], " ", Mapping[[#This Row],[Object Name]])</f>
        <v>CTC_XOVR_RIGHT CTC_XOVR_RIGHT:TO_RUR</v>
      </c>
      <c r="K174" s="36" t="str">
        <f t="shared" ca="1" si="27"/>
        <v>CSn010</v>
      </c>
      <c r="L174" s="36" t="str">
        <f t="shared" ca="1" si="28"/>
        <v>-</v>
      </c>
      <c r="M174" s="47"/>
    </row>
    <row r="175" spans="1:14" x14ac:dyDescent="0.2">
      <c r="A175" s="46" t="s">
        <v>499</v>
      </c>
      <c r="B175" s="55">
        <f t="shared" si="36"/>
        <v>11</v>
      </c>
      <c r="C175" s="36" t="str">
        <f t="shared" ca="1" si="29"/>
        <v>Unassigned</v>
      </c>
      <c r="D175" s="36" t="str">
        <f t="shared" ca="1" si="30"/>
        <v>Unassigned</v>
      </c>
      <c r="E175" s="36">
        <f t="shared" ca="1" si="31"/>
        <v>0</v>
      </c>
      <c r="F175" s="36" t="str">
        <f t="shared" ca="1" si="32"/>
        <v>IN</v>
      </c>
      <c r="G175" s="36">
        <f t="shared" ca="1" si="33"/>
        <v>0</v>
      </c>
      <c r="H175" s="36" t="str">
        <f t="shared" ca="1" si="34"/>
        <v>-</v>
      </c>
      <c r="I175" s="49" t="e">
        <f ca="1">VLOOKUP(Mapping[[#This Row],[Object Name]],PCB_PIN_TABLE,2, FALSE)</f>
        <v>#N/A</v>
      </c>
      <c r="J175" s="36" t="str">
        <f ca="1">_xlfn.CONCAT(Mapping[[#This Row],[Module]], " ", Mapping[[#This Row],[Object Name]])</f>
        <v>Unassigned -</v>
      </c>
      <c r="K175" s="36" t="str">
        <f t="shared" ca="1" si="27"/>
        <v>CSn011</v>
      </c>
      <c r="L175" s="36" t="str">
        <f t="shared" ca="1" si="28"/>
        <v>-</v>
      </c>
      <c r="M175" s="47"/>
    </row>
    <row r="176" spans="1:14" x14ac:dyDescent="0.2">
      <c r="A176" s="46" t="s">
        <v>499</v>
      </c>
      <c r="B176" s="55">
        <f t="shared" si="36"/>
        <v>12</v>
      </c>
      <c r="C176" s="36" t="str">
        <f t="shared" ca="1" si="29"/>
        <v>Unassigned</v>
      </c>
      <c r="D176" s="36" t="str">
        <f t="shared" ca="1" si="30"/>
        <v>Unassigned</v>
      </c>
      <c r="E176" s="36">
        <f t="shared" ca="1" si="31"/>
        <v>0</v>
      </c>
      <c r="F176" s="36" t="str">
        <f t="shared" ca="1" si="32"/>
        <v>IN</v>
      </c>
      <c r="G176" s="36">
        <f t="shared" ca="1" si="33"/>
        <v>0</v>
      </c>
      <c r="H176" s="36" t="str">
        <f t="shared" ca="1" si="34"/>
        <v>-</v>
      </c>
      <c r="I176" s="49" t="e">
        <f ca="1">VLOOKUP(Mapping[[#This Row],[Object Name]],PCB_PIN_TABLE,2, FALSE)</f>
        <v>#N/A</v>
      </c>
      <c r="J176" s="36" t="str">
        <f ca="1">_xlfn.CONCAT(Mapping[[#This Row],[Module]], " ", Mapping[[#This Row],[Object Name]])</f>
        <v>Unassigned -</v>
      </c>
      <c r="K176" s="36" t="str">
        <f t="shared" ca="1" si="27"/>
        <v>CSn012</v>
      </c>
      <c r="L176" s="36" t="str">
        <f t="shared" ca="1" si="28"/>
        <v>-</v>
      </c>
      <c r="M176" s="47"/>
    </row>
    <row r="177" spans="1:13" x14ac:dyDescent="0.2">
      <c r="A177" s="46" t="s">
        <v>499</v>
      </c>
      <c r="B177" s="55">
        <f t="shared" si="36"/>
        <v>13</v>
      </c>
      <c r="C177" s="36" t="str">
        <f t="shared" ca="1" si="29"/>
        <v>Unassigned</v>
      </c>
      <c r="D177" s="36" t="str">
        <f t="shared" ca="1" si="30"/>
        <v>Unassigned</v>
      </c>
      <c r="E177" s="36">
        <f t="shared" ca="1" si="31"/>
        <v>0</v>
      </c>
      <c r="F177" s="36" t="str">
        <f t="shared" ca="1" si="32"/>
        <v>IN</v>
      </c>
      <c r="G177" s="36">
        <f t="shared" ca="1" si="33"/>
        <v>0</v>
      </c>
      <c r="H177" s="36" t="str">
        <f t="shared" ca="1" si="34"/>
        <v>-</v>
      </c>
      <c r="I177" s="49" t="e">
        <f ca="1">VLOOKUP(Mapping[[#This Row],[Object Name]],PCB_PIN_TABLE,2, FALSE)</f>
        <v>#N/A</v>
      </c>
      <c r="J177" s="36" t="str">
        <f ca="1">_xlfn.CONCAT(Mapping[[#This Row],[Module]], " ", Mapping[[#This Row],[Object Name]])</f>
        <v>Unassigned -</v>
      </c>
      <c r="K177" s="36" t="str">
        <f t="shared" ca="1" si="27"/>
        <v>CSn013</v>
      </c>
      <c r="L177" s="36" t="str">
        <f t="shared" ca="1" si="28"/>
        <v>-</v>
      </c>
      <c r="M177" s="47"/>
    </row>
    <row r="178" spans="1:13" x14ac:dyDescent="0.2">
      <c r="A178" s="46" t="s">
        <v>499</v>
      </c>
      <c r="B178" s="55">
        <f t="shared" si="36"/>
        <v>14</v>
      </c>
      <c r="C178" s="36" t="str">
        <f t="shared" ca="1" si="29"/>
        <v>Unassigned</v>
      </c>
      <c r="D178" s="36" t="str">
        <f t="shared" ca="1" si="30"/>
        <v>Unassigned</v>
      </c>
      <c r="E178" s="36">
        <f t="shared" ca="1" si="31"/>
        <v>0</v>
      </c>
      <c r="F178" s="36" t="str">
        <f t="shared" ca="1" si="32"/>
        <v>IN</v>
      </c>
      <c r="G178" s="36">
        <f t="shared" ca="1" si="33"/>
        <v>0</v>
      </c>
      <c r="H178" s="36" t="str">
        <f t="shared" ca="1" si="34"/>
        <v>-</v>
      </c>
      <c r="I178" s="49" t="e">
        <f ca="1">VLOOKUP(Mapping[[#This Row],[Object Name]],PCB_PIN_TABLE,2, FALSE)</f>
        <v>#N/A</v>
      </c>
      <c r="J178" s="36" t="str">
        <f ca="1">_xlfn.CONCAT(Mapping[[#This Row],[Module]], " ", Mapping[[#This Row],[Object Name]])</f>
        <v>Unassigned -</v>
      </c>
      <c r="K178" s="36" t="str">
        <f t="shared" ca="1" si="27"/>
        <v>CSn014</v>
      </c>
      <c r="L178" s="36" t="str">
        <f t="shared" ca="1" si="28"/>
        <v>-</v>
      </c>
      <c r="M178" s="47"/>
    </row>
    <row r="179" spans="1:13" x14ac:dyDescent="0.2">
      <c r="A179" s="46" t="s">
        <v>499</v>
      </c>
      <c r="B179" s="55">
        <f t="shared" si="36"/>
        <v>15</v>
      </c>
      <c r="C179" s="36" t="str">
        <f t="shared" ca="1" si="29"/>
        <v>Unassigned</v>
      </c>
      <c r="D179" s="36" t="str">
        <f t="shared" ca="1" si="30"/>
        <v>Unassigned</v>
      </c>
      <c r="E179" s="36">
        <f t="shared" ca="1" si="31"/>
        <v>0</v>
      </c>
      <c r="F179" s="36" t="str">
        <f t="shared" ca="1" si="32"/>
        <v>IN</v>
      </c>
      <c r="G179" s="36">
        <f t="shared" ca="1" si="33"/>
        <v>0</v>
      </c>
      <c r="H179" s="36" t="str">
        <f t="shared" ca="1" si="34"/>
        <v>-</v>
      </c>
      <c r="I179" s="49" t="e">
        <f ca="1">VLOOKUP(Mapping[[#This Row],[Object Name]],PCB_PIN_TABLE,2, FALSE)</f>
        <v>#N/A</v>
      </c>
      <c r="J179" s="36" t="str">
        <f ca="1">_xlfn.CONCAT(Mapping[[#This Row],[Module]], " ", Mapping[[#This Row],[Object Name]])</f>
        <v>Unassigned -</v>
      </c>
      <c r="K179" s="36" t="str">
        <f t="shared" ca="1" si="27"/>
        <v>CSn015</v>
      </c>
      <c r="L179" s="36" t="str">
        <f t="shared" ca="1" si="28"/>
        <v>-</v>
      </c>
      <c r="M179" s="47"/>
    </row>
    <row r="180" spans="1:13" x14ac:dyDescent="0.2">
      <c r="A180" s="46" t="s">
        <v>499</v>
      </c>
      <c r="B180" s="55">
        <f t="shared" si="36"/>
        <v>16</v>
      </c>
      <c r="C180" s="36" t="str">
        <f t="shared" ca="1" si="29"/>
        <v>Unassigned</v>
      </c>
      <c r="D180" s="36" t="str">
        <f t="shared" ca="1" si="30"/>
        <v>Unassigned</v>
      </c>
      <c r="E180" s="36">
        <f t="shared" ca="1" si="31"/>
        <v>0</v>
      </c>
      <c r="F180" s="36" t="str">
        <f t="shared" ca="1" si="32"/>
        <v>IN</v>
      </c>
      <c r="G180" s="36">
        <f t="shared" ca="1" si="33"/>
        <v>0</v>
      </c>
      <c r="H180" s="36" t="str">
        <f t="shared" ca="1" si="34"/>
        <v>-</v>
      </c>
      <c r="I180" s="49" t="e">
        <f ca="1">VLOOKUP(Mapping[[#This Row],[Object Name]],PCB_PIN_TABLE,2, FALSE)</f>
        <v>#N/A</v>
      </c>
      <c r="J180" s="36" t="str">
        <f ca="1">_xlfn.CONCAT(Mapping[[#This Row],[Module]], " ", Mapping[[#This Row],[Object Name]])</f>
        <v>Unassigned -</v>
      </c>
      <c r="K180" s="36" t="str">
        <f t="shared" ca="1" si="27"/>
        <v>CSn016</v>
      </c>
      <c r="L180" s="36" t="str">
        <f t="shared" ca="1" si="28"/>
        <v>-</v>
      </c>
      <c r="M180" s="47"/>
    </row>
    <row r="181" spans="1:13" x14ac:dyDescent="0.2">
      <c r="A181" s="46" t="s">
        <v>499</v>
      </c>
      <c r="B181" s="55">
        <f t="shared" si="36"/>
        <v>17</v>
      </c>
      <c r="C181" s="36" t="str">
        <f t="shared" ca="1" si="29"/>
        <v>CTC_XOVR_RIGHT</v>
      </c>
      <c r="D181" s="36" t="str">
        <f t="shared" ca="1" si="30"/>
        <v>Signal Head</v>
      </c>
      <c r="E181" s="36" t="str">
        <f t="shared" ca="1" si="31"/>
        <v>Throw</v>
      </c>
      <c r="F181" s="36" t="str">
        <f t="shared" ca="1" si="32"/>
        <v>OUT</v>
      </c>
      <c r="G181" s="36">
        <f t="shared" ca="1" si="33"/>
        <v>0</v>
      </c>
      <c r="H181" s="36" t="str">
        <f t="shared" ca="1" si="34"/>
        <v>CTC_XOVR_RIGHT:OME:DBL:HEAD0:RED</v>
      </c>
      <c r="I181" s="49" t="e">
        <f ca="1">VLOOKUP(Mapping[[#This Row],[Object Name]],PCB_PIN_TABLE,2, FALSE)</f>
        <v>#N/A</v>
      </c>
      <c r="J181" s="36" t="str">
        <f ca="1">_xlfn.CONCAT(Mapping[[#This Row],[Module]], " ", Mapping[[#This Row],[Object Name]])</f>
        <v>CTC_XOVR_RIGHT CTC_XOVR_RIGHT:OME:DBL:HEAD0:RED</v>
      </c>
      <c r="K181" s="36" t="str">
        <f t="shared" ca="1" si="27"/>
        <v>CTn017</v>
      </c>
      <c r="L181" s="36" t="str">
        <f t="shared" ca="1" si="28"/>
        <v>-</v>
      </c>
      <c r="M181" s="47"/>
    </row>
    <row r="182" spans="1:13" x14ac:dyDescent="0.2">
      <c r="A182" s="46" t="s">
        <v>499</v>
      </c>
      <c r="B182" s="55">
        <f t="shared" si="36"/>
        <v>18</v>
      </c>
      <c r="C182" s="36" t="str">
        <f t="shared" ca="1" si="29"/>
        <v>CTC_XOVR_RIGHT</v>
      </c>
      <c r="D182" s="36" t="str">
        <f t="shared" ca="1" si="30"/>
        <v>Signal Head</v>
      </c>
      <c r="E182" s="36" t="str">
        <f t="shared" ca="1" si="31"/>
        <v>Throw</v>
      </c>
      <c r="F182" s="36" t="str">
        <f t="shared" ca="1" si="32"/>
        <v>OUT</v>
      </c>
      <c r="G182" s="36">
        <f t="shared" ca="1" si="33"/>
        <v>0</v>
      </c>
      <c r="H182" s="36" t="str">
        <f t="shared" ca="1" si="34"/>
        <v>CTC_XOVR_RIGHT:OME:DBL:HEAD0:YEL</v>
      </c>
      <c r="I182" s="49" t="e">
        <f ca="1">VLOOKUP(Mapping[[#This Row],[Object Name]],PCB_PIN_TABLE,2, FALSE)</f>
        <v>#N/A</v>
      </c>
      <c r="J182" s="36" t="str">
        <f ca="1">_xlfn.CONCAT(Mapping[[#This Row],[Module]], " ", Mapping[[#This Row],[Object Name]])</f>
        <v>CTC_XOVR_RIGHT CTC_XOVR_RIGHT:OME:DBL:HEAD0:YEL</v>
      </c>
      <c r="K182" s="36" t="str">
        <f t="shared" ca="1" si="27"/>
        <v>CTn018</v>
      </c>
      <c r="L182" s="36" t="str">
        <f t="shared" ca="1" si="28"/>
        <v>-</v>
      </c>
      <c r="M182" s="47"/>
    </row>
    <row r="183" spans="1:13" x14ac:dyDescent="0.2">
      <c r="A183" s="46" t="s">
        <v>499</v>
      </c>
      <c r="B183" s="55">
        <f t="shared" si="36"/>
        <v>19</v>
      </c>
      <c r="C183" s="36" t="str">
        <f t="shared" ca="1" si="29"/>
        <v>CTC_XOVR_RIGHT</v>
      </c>
      <c r="D183" s="36" t="str">
        <f t="shared" ca="1" si="30"/>
        <v>Signal Head</v>
      </c>
      <c r="E183" s="36" t="str">
        <f t="shared" ca="1" si="31"/>
        <v>Throw</v>
      </c>
      <c r="F183" s="36" t="str">
        <f t="shared" ca="1" si="32"/>
        <v>OUT</v>
      </c>
      <c r="G183" s="36">
        <f t="shared" ca="1" si="33"/>
        <v>0</v>
      </c>
      <c r="H183" s="36" t="str">
        <f t="shared" ca="1" si="34"/>
        <v>CTC_XOVR_RIGHT:OME:DBL:HEAD0:GRN</v>
      </c>
      <c r="I183" s="49" t="e">
        <f ca="1">VLOOKUP(Mapping[[#This Row],[Object Name]],PCB_PIN_TABLE,2, FALSE)</f>
        <v>#N/A</v>
      </c>
      <c r="J183" s="36" t="str">
        <f ca="1">_xlfn.CONCAT(Mapping[[#This Row],[Module]], " ", Mapping[[#This Row],[Object Name]])</f>
        <v>CTC_XOVR_RIGHT CTC_XOVR_RIGHT:OME:DBL:HEAD0:GRN</v>
      </c>
      <c r="K183" s="36" t="str">
        <f t="shared" ca="1" si="27"/>
        <v>CTn019</v>
      </c>
      <c r="L183" s="36" t="str">
        <f t="shared" ca="1" si="28"/>
        <v>-</v>
      </c>
      <c r="M183" s="47"/>
    </row>
    <row r="184" spans="1:13" x14ac:dyDescent="0.2">
      <c r="A184" s="46" t="s">
        <v>499</v>
      </c>
      <c r="B184" s="55">
        <f t="shared" si="36"/>
        <v>20</v>
      </c>
      <c r="C184" s="36" t="str">
        <f t="shared" ca="1" si="29"/>
        <v>CTC_XOVR_RIGHT</v>
      </c>
      <c r="D184" s="36" t="str">
        <f t="shared" ca="1" si="30"/>
        <v>Signal Head</v>
      </c>
      <c r="E184" s="36" t="str">
        <f t="shared" ca="1" si="31"/>
        <v>Throw</v>
      </c>
      <c r="F184" s="36" t="str">
        <f t="shared" ca="1" si="32"/>
        <v>OUT</v>
      </c>
      <c r="G184" s="36">
        <f t="shared" ca="1" si="33"/>
        <v>0</v>
      </c>
      <c r="H184" s="36" t="str">
        <f t="shared" ca="1" si="34"/>
        <v>CTC_XOVR_RIGHT:OME:DBL:HEAD1:RED</v>
      </c>
      <c r="I184" s="49" t="e">
        <f ca="1">VLOOKUP(Mapping[[#This Row],[Object Name]],PCB_PIN_TABLE,2, FALSE)</f>
        <v>#N/A</v>
      </c>
      <c r="J184" s="36" t="str">
        <f ca="1">_xlfn.CONCAT(Mapping[[#This Row],[Module]], " ", Mapping[[#This Row],[Object Name]])</f>
        <v>CTC_XOVR_RIGHT CTC_XOVR_RIGHT:OME:DBL:HEAD1:RED</v>
      </c>
      <c r="K184" s="36" t="str">
        <f t="shared" ca="1" si="27"/>
        <v>CTn020</v>
      </c>
      <c r="L184" s="36" t="str">
        <f t="shared" ca="1" si="28"/>
        <v>-</v>
      </c>
      <c r="M184" s="47"/>
    </row>
    <row r="185" spans="1:13" x14ac:dyDescent="0.2">
      <c r="A185" s="46" t="s">
        <v>499</v>
      </c>
      <c r="B185" s="55">
        <f t="shared" si="36"/>
        <v>21</v>
      </c>
      <c r="C185" s="36" t="str">
        <f t="shared" ca="1" si="29"/>
        <v>CTC_XOVR_RIGHT</v>
      </c>
      <c r="D185" s="36" t="str">
        <f t="shared" ca="1" si="30"/>
        <v>Signal Head</v>
      </c>
      <c r="E185" s="36" t="str">
        <f t="shared" ca="1" si="31"/>
        <v>Throw</v>
      </c>
      <c r="F185" s="36" t="str">
        <f t="shared" ca="1" si="32"/>
        <v>OUT</v>
      </c>
      <c r="G185" s="36">
        <f t="shared" ca="1" si="33"/>
        <v>0</v>
      </c>
      <c r="H185" s="36" t="str">
        <f t="shared" ca="1" si="34"/>
        <v>CTC_XOVR_RIGHT:OME:DBL:HEAD1:YEL</v>
      </c>
      <c r="I185" s="49" t="e">
        <f ca="1">VLOOKUP(Mapping[[#This Row],[Object Name]],PCB_PIN_TABLE,2, FALSE)</f>
        <v>#N/A</v>
      </c>
      <c r="J185" s="36" t="str">
        <f ca="1">_xlfn.CONCAT(Mapping[[#This Row],[Module]], " ", Mapping[[#This Row],[Object Name]])</f>
        <v>CTC_XOVR_RIGHT CTC_XOVR_RIGHT:OME:DBL:HEAD1:YEL</v>
      </c>
      <c r="K185" s="36" t="str">
        <f t="shared" ca="1" si="27"/>
        <v>CTn021</v>
      </c>
      <c r="L185" s="36" t="str">
        <f t="shared" ca="1" si="28"/>
        <v>-</v>
      </c>
      <c r="M185" s="47"/>
    </row>
    <row r="186" spans="1:13" x14ac:dyDescent="0.2">
      <c r="A186" s="46" t="s">
        <v>499</v>
      </c>
      <c r="B186" s="55">
        <f t="shared" si="36"/>
        <v>22</v>
      </c>
      <c r="C186" s="36" t="str">
        <f t="shared" ca="1" si="29"/>
        <v>CTC_XOVR_RIGHT</v>
      </c>
      <c r="D186" s="36" t="str">
        <f t="shared" ca="1" si="30"/>
        <v>Signal Head</v>
      </c>
      <c r="E186" s="36" t="str">
        <f t="shared" ca="1" si="31"/>
        <v>Throw</v>
      </c>
      <c r="F186" s="36" t="str">
        <f t="shared" ca="1" si="32"/>
        <v>OUT</v>
      </c>
      <c r="G186" s="36">
        <f t="shared" ca="1" si="33"/>
        <v>0</v>
      </c>
      <c r="H186" s="36" t="str">
        <f t="shared" ca="1" si="34"/>
        <v>CTC_XOVR_RIGHT:OME:DBL:HEAD1:GRN</v>
      </c>
      <c r="I186" s="49" t="e">
        <f ca="1">VLOOKUP(Mapping[[#This Row],[Object Name]],PCB_PIN_TABLE,2, FALSE)</f>
        <v>#N/A</v>
      </c>
      <c r="J186" s="36" t="str">
        <f ca="1">_xlfn.CONCAT(Mapping[[#This Row],[Module]], " ", Mapping[[#This Row],[Object Name]])</f>
        <v>CTC_XOVR_RIGHT CTC_XOVR_RIGHT:OME:DBL:HEAD1:GRN</v>
      </c>
      <c r="K186" s="36" t="str">
        <f t="shared" ca="1" si="27"/>
        <v>CTn022</v>
      </c>
      <c r="L186" s="36" t="str">
        <f t="shared" ca="1" si="28"/>
        <v>-</v>
      </c>
      <c r="M186" s="47"/>
    </row>
    <row r="187" spans="1:13" x14ac:dyDescent="0.2">
      <c r="A187" s="46" t="s">
        <v>499</v>
      </c>
      <c r="B187" s="55">
        <f t="shared" si="36"/>
        <v>23</v>
      </c>
      <c r="C187" s="36" t="str">
        <f t="shared" ca="1" si="29"/>
        <v>CTC_XOVR_RIGHT</v>
      </c>
      <c r="D187" s="36" t="str">
        <f t="shared" ca="1" si="30"/>
        <v>Signal Head</v>
      </c>
      <c r="E187" s="36" t="str">
        <f t="shared" ca="1" si="31"/>
        <v>Throw</v>
      </c>
      <c r="F187" s="36" t="str">
        <f t="shared" ca="1" si="32"/>
        <v>OUT</v>
      </c>
      <c r="G187" s="36">
        <f t="shared" ca="1" si="33"/>
        <v>0</v>
      </c>
      <c r="H187" s="36" t="str">
        <f t="shared" ca="1" si="34"/>
        <v>CTC_XOVR_RIGHT:OMW:DBL:HEAD0:RED</v>
      </c>
      <c r="I187" s="49" t="e">
        <f ca="1">VLOOKUP(Mapping[[#This Row],[Object Name]],PCB_PIN_TABLE,2, FALSE)</f>
        <v>#N/A</v>
      </c>
      <c r="J187" s="36" t="str">
        <f ca="1">_xlfn.CONCAT(Mapping[[#This Row],[Module]], " ", Mapping[[#This Row],[Object Name]])</f>
        <v>CTC_XOVR_RIGHT CTC_XOVR_RIGHT:OMW:DBL:HEAD0:RED</v>
      </c>
      <c r="K187" s="36" t="str">
        <f t="shared" ca="1" si="27"/>
        <v>CTn023</v>
      </c>
      <c r="L187" s="36" t="str">
        <f t="shared" ca="1" si="28"/>
        <v>-</v>
      </c>
      <c r="M187" s="47"/>
    </row>
    <row r="188" spans="1:13" x14ac:dyDescent="0.2">
      <c r="A188" s="46" t="s">
        <v>499</v>
      </c>
      <c r="B188" s="55">
        <f t="shared" si="36"/>
        <v>24</v>
      </c>
      <c r="C188" s="36" t="str">
        <f t="shared" ca="1" si="29"/>
        <v>CTC_XOVR_RIGHT</v>
      </c>
      <c r="D188" s="36" t="str">
        <f t="shared" ca="1" si="30"/>
        <v>Signal Head</v>
      </c>
      <c r="E188" s="36" t="str">
        <f t="shared" ca="1" si="31"/>
        <v>Throw</v>
      </c>
      <c r="F188" s="36" t="str">
        <f t="shared" ca="1" si="32"/>
        <v>OUT</v>
      </c>
      <c r="G188" s="36">
        <f t="shared" ca="1" si="33"/>
        <v>0</v>
      </c>
      <c r="H188" s="36" t="str">
        <f t="shared" ca="1" si="34"/>
        <v>CTC_XOVR_RIGHT:OMW:DBL:HEAD0:YEL</v>
      </c>
      <c r="I188" s="49" t="e">
        <f ca="1">VLOOKUP(Mapping[[#This Row],[Object Name]],PCB_PIN_TABLE,2, FALSE)</f>
        <v>#N/A</v>
      </c>
      <c r="J188" s="36" t="str">
        <f ca="1">_xlfn.CONCAT(Mapping[[#This Row],[Module]], " ", Mapping[[#This Row],[Object Name]])</f>
        <v>CTC_XOVR_RIGHT CTC_XOVR_RIGHT:OMW:DBL:HEAD0:YEL</v>
      </c>
      <c r="K188" s="36" t="str">
        <f t="shared" ca="1" si="27"/>
        <v>CTn024</v>
      </c>
      <c r="L188" s="36" t="str">
        <f t="shared" ca="1" si="28"/>
        <v>-</v>
      </c>
      <c r="M188" s="47"/>
    </row>
    <row r="189" spans="1:13" x14ac:dyDescent="0.2">
      <c r="A189" s="46" t="s">
        <v>499</v>
      </c>
      <c r="B189" s="55">
        <f t="shared" si="36"/>
        <v>25</v>
      </c>
      <c r="C189" s="36" t="str">
        <f t="shared" ca="1" si="29"/>
        <v>CTC_XOVR_RIGHT</v>
      </c>
      <c r="D189" s="36" t="str">
        <f t="shared" ca="1" si="30"/>
        <v>Signal Head</v>
      </c>
      <c r="E189" s="36" t="str">
        <f t="shared" ca="1" si="31"/>
        <v>Throw</v>
      </c>
      <c r="F189" s="36" t="str">
        <f t="shared" ca="1" si="32"/>
        <v>OUT</v>
      </c>
      <c r="G189" s="36">
        <f t="shared" ca="1" si="33"/>
        <v>0</v>
      </c>
      <c r="H189" s="36" t="str">
        <f t="shared" ca="1" si="34"/>
        <v>CTC_XOVR_RIGHT:OMW:DBL:HEAD0:GRN</v>
      </c>
      <c r="I189" s="49" t="e">
        <f ca="1">VLOOKUP(Mapping[[#This Row],[Object Name]],PCB_PIN_TABLE,2, FALSE)</f>
        <v>#N/A</v>
      </c>
      <c r="J189" s="36" t="str">
        <f ca="1">_xlfn.CONCAT(Mapping[[#This Row],[Module]], " ", Mapping[[#This Row],[Object Name]])</f>
        <v>CTC_XOVR_RIGHT CTC_XOVR_RIGHT:OMW:DBL:HEAD0:GRN</v>
      </c>
      <c r="K189" s="36" t="str">
        <f t="shared" ca="1" si="27"/>
        <v>CTn025</v>
      </c>
      <c r="L189" s="36" t="str">
        <f t="shared" ca="1" si="28"/>
        <v>-</v>
      </c>
      <c r="M189" s="47"/>
    </row>
    <row r="190" spans="1:13" x14ac:dyDescent="0.2">
      <c r="A190" s="46" t="s">
        <v>499</v>
      </c>
      <c r="B190" s="55">
        <f t="shared" si="36"/>
        <v>26</v>
      </c>
      <c r="C190" s="36" t="str">
        <f t="shared" ca="1" si="29"/>
        <v>CTC_XOVR_RIGHT</v>
      </c>
      <c r="D190" s="36" t="str">
        <f t="shared" ca="1" si="30"/>
        <v>Signal Head</v>
      </c>
      <c r="E190" s="36" t="str">
        <f t="shared" ca="1" si="31"/>
        <v>Throw</v>
      </c>
      <c r="F190" s="36" t="str">
        <f t="shared" ca="1" si="32"/>
        <v>OUT</v>
      </c>
      <c r="G190" s="36">
        <f t="shared" ca="1" si="33"/>
        <v>0</v>
      </c>
      <c r="H190" s="36" t="str">
        <f t="shared" ca="1" si="34"/>
        <v>CTC_XOVR_RIGHT:OMW:DBL:HEAD1:RED</v>
      </c>
      <c r="I190" s="49" t="e">
        <f ca="1">VLOOKUP(Mapping[[#This Row],[Object Name]],PCB_PIN_TABLE,2, FALSE)</f>
        <v>#N/A</v>
      </c>
      <c r="J190" s="36" t="str">
        <f ca="1">_xlfn.CONCAT(Mapping[[#This Row],[Module]], " ", Mapping[[#This Row],[Object Name]])</f>
        <v>CTC_XOVR_RIGHT CTC_XOVR_RIGHT:OMW:DBL:HEAD1:RED</v>
      </c>
      <c r="K190" s="36" t="str">
        <f t="shared" ca="1" si="27"/>
        <v>CTn026</v>
      </c>
      <c r="L190" s="36" t="str">
        <f t="shared" ca="1" si="28"/>
        <v>-</v>
      </c>
      <c r="M190" s="47"/>
    </row>
    <row r="191" spans="1:13" x14ac:dyDescent="0.2">
      <c r="A191" s="46" t="s">
        <v>499</v>
      </c>
      <c r="B191" s="55">
        <f t="shared" si="36"/>
        <v>27</v>
      </c>
      <c r="C191" s="36" t="str">
        <f t="shared" ca="1" si="29"/>
        <v>CTC_XOVR_RIGHT</v>
      </c>
      <c r="D191" s="36" t="str">
        <f t="shared" ca="1" si="30"/>
        <v>Signal Head</v>
      </c>
      <c r="E191" s="36" t="str">
        <f t="shared" ca="1" si="31"/>
        <v>Throw</v>
      </c>
      <c r="F191" s="36" t="str">
        <f t="shared" ca="1" si="32"/>
        <v>OUT</v>
      </c>
      <c r="G191" s="36">
        <f t="shared" ca="1" si="33"/>
        <v>0</v>
      </c>
      <c r="H191" s="36" t="str">
        <f t="shared" ca="1" si="34"/>
        <v>CTC_XOVR_RIGHT:OMW:DBL:HEAD1:YEL</v>
      </c>
      <c r="I191" s="49" t="e">
        <f ca="1">VLOOKUP(Mapping[[#This Row],[Object Name]],PCB_PIN_TABLE,2, FALSE)</f>
        <v>#N/A</v>
      </c>
      <c r="J191" s="36" t="str">
        <f ca="1">_xlfn.CONCAT(Mapping[[#This Row],[Module]], " ", Mapping[[#This Row],[Object Name]])</f>
        <v>CTC_XOVR_RIGHT CTC_XOVR_RIGHT:OMW:DBL:HEAD1:YEL</v>
      </c>
      <c r="K191" s="36" t="str">
        <f t="shared" ca="1" si="27"/>
        <v>CTn027</v>
      </c>
      <c r="L191" s="36" t="str">
        <f t="shared" ca="1" si="28"/>
        <v>-</v>
      </c>
      <c r="M191" s="47"/>
    </row>
    <row r="192" spans="1:13" x14ac:dyDescent="0.2">
      <c r="A192" s="46" t="s">
        <v>499</v>
      </c>
      <c r="B192" s="55">
        <f t="shared" si="36"/>
        <v>28</v>
      </c>
      <c r="C192" s="36" t="str">
        <f t="shared" ca="1" si="29"/>
        <v>CTC_XOVR_RIGHT</v>
      </c>
      <c r="D192" s="36" t="str">
        <f t="shared" ca="1" si="30"/>
        <v>Signal Head</v>
      </c>
      <c r="E192" s="36" t="str">
        <f t="shared" ca="1" si="31"/>
        <v>Throw</v>
      </c>
      <c r="F192" s="36" t="str">
        <f t="shared" ca="1" si="32"/>
        <v>OUT</v>
      </c>
      <c r="G192" s="36">
        <f t="shared" ca="1" si="33"/>
        <v>0</v>
      </c>
      <c r="H192" s="36" t="str">
        <f t="shared" ca="1" si="34"/>
        <v>CTC_XOVR_RIGHT:OMW:DBL:HEAD1:GRN</v>
      </c>
      <c r="I192" s="49" t="e">
        <f ca="1">VLOOKUP(Mapping[[#This Row],[Object Name]],PCB_PIN_TABLE,2, FALSE)</f>
        <v>#N/A</v>
      </c>
      <c r="J192" s="36" t="str">
        <f ca="1">_xlfn.CONCAT(Mapping[[#This Row],[Module]], " ", Mapping[[#This Row],[Object Name]])</f>
        <v>CTC_XOVR_RIGHT CTC_XOVR_RIGHT:OMW:DBL:HEAD1:GRN</v>
      </c>
      <c r="K192" s="36" t="str">
        <f t="shared" ca="1" si="27"/>
        <v>CTn028</v>
      </c>
      <c r="L192" s="36" t="str">
        <f t="shared" ca="1" si="28"/>
        <v>-</v>
      </c>
      <c r="M192" s="47"/>
    </row>
    <row r="193" spans="1:13" x14ac:dyDescent="0.2">
      <c r="A193" s="46" t="s">
        <v>499</v>
      </c>
      <c r="B193" s="55">
        <f t="shared" si="36"/>
        <v>29</v>
      </c>
      <c r="C193" s="36" t="str">
        <f t="shared" ca="1" si="29"/>
        <v>CTC_XOVR_RIGHT</v>
      </c>
      <c r="D193" s="36" t="str">
        <f t="shared" ca="1" si="30"/>
        <v>Select Route Command</v>
      </c>
      <c r="E193" s="36" t="str">
        <f t="shared" ca="1" si="31"/>
        <v>Close</v>
      </c>
      <c r="F193" s="36" t="str">
        <f t="shared" ca="1" si="32"/>
        <v>OUT</v>
      </c>
      <c r="G193" s="36">
        <f t="shared" ca="1" si="33"/>
        <v>0</v>
      </c>
      <c r="H193" s="36" t="str">
        <f t="shared" ca="1" si="34"/>
        <v>CTC_XOVR_RIGHT:TO_SRC</v>
      </c>
      <c r="I193" s="49" t="e">
        <f ca="1">VLOOKUP(Mapping[[#This Row],[Object Name]],PCB_PIN_TABLE,2, FALSE)</f>
        <v>#N/A</v>
      </c>
      <c r="J193" s="36" t="str">
        <f ca="1">_xlfn.CONCAT(Mapping[[#This Row],[Module]], " ", Mapping[[#This Row],[Object Name]])</f>
        <v>CTC_XOVR_RIGHT CTC_XOVR_RIGHT:TO_SRC</v>
      </c>
      <c r="K193" s="36" t="str">
        <f t="shared" ca="1" si="27"/>
        <v>CTn029</v>
      </c>
      <c r="L193" s="36" t="str">
        <f t="shared" ca="1" si="28"/>
        <v>-</v>
      </c>
      <c r="M193" s="47"/>
    </row>
    <row r="194" spans="1:13" x14ac:dyDescent="0.2">
      <c r="A194" s="46" t="s">
        <v>499</v>
      </c>
      <c r="B194" s="55">
        <f t="shared" si="36"/>
        <v>30</v>
      </c>
      <c r="C194" s="36" t="str">
        <f t="shared" ca="1" si="29"/>
        <v>CTC_XOVR_RIGHT</v>
      </c>
      <c r="D194" s="36" t="str">
        <f t="shared" ca="1" si="30"/>
        <v>Turnout Unlocked Light On</v>
      </c>
      <c r="E194" s="36" t="str">
        <f t="shared" ca="1" si="31"/>
        <v>Close</v>
      </c>
      <c r="F194" s="36" t="str">
        <f t="shared" ca="1" si="32"/>
        <v>OUT</v>
      </c>
      <c r="G194" s="36">
        <f t="shared" ca="1" si="33"/>
        <v>0</v>
      </c>
      <c r="H194" s="36" t="str">
        <f t="shared" ca="1" si="34"/>
        <v>CTC_XOVR_RIGHT:TO_TULO</v>
      </c>
      <c r="I194" s="49" t="e">
        <f ca="1">VLOOKUP(Mapping[[#This Row],[Object Name]],PCB_PIN_TABLE,2, FALSE)</f>
        <v>#N/A</v>
      </c>
      <c r="J194" s="36" t="str">
        <f ca="1">_xlfn.CONCAT(Mapping[[#This Row],[Module]], " ", Mapping[[#This Row],[Object Name]])</f>
        <v>CTC_XOVR_RIGHT CTC_XOVR_RIGHT:TO_TULO</v>
      </c>
      <c r="K194" s="36" t="str">
        <f t="shared" ca="1" si="27"/>
        <v>CTn030</v>
      </c>
      <c r="L194" s="36" t="str">
        <f t="shared" ca="1" si="28"/>
        <v>-</v>
      </c>
      <c r="M194" s="47"/>
    </row>
    <row r="195" spans="1:13" x14ac:dyDescent="0.2">
      <c r="A195" s="46" t="s">
        <v>499</v>
      </c>
      <c r="B195" s="55">
        <f t="shared" si="36"/>
        <v>31</v>
      </c>
      <c r="C195" s="36" t="str">
        <f t="shared" ca="1" si="29"/>
        <v>Unassigned</v>
      </c>
      <c r="D195" s="36" t="str">
        <f t="shared" ca="1" si="30"/>
        <v>Unassigned</v>
      </c>
      <c r="E195" s="36">
        <f t="shared" ca="1" si="31"/>
        <v>0</v>
      </c>
      <c r="F195" s="36" t="str">
        <f t="shared" ca="1" si="32"/>
        <v>OUT</v>
      </c>
      <c r="G195" s="36">
        <f t="shared" ca="1" si="33"/>
        <v>0</v>
      </c>
      <c r="H195" s="36" t="str">
        <f t="shared" ca="1" si="34"/>
        <v>-</v>
      </c>
      <c r="I195" s="49" t="e">
        <f ca="1">VLOOKUP(Mapping[[#This Row],[Object Name]],PCB_PIN_TABLE,2, FALSE)</f>
        <v>#N/A</v>
      </c>
      <c r="J195" s="36" t="str">
        <f ca="1">_xlfn.CONCAT(Mapping[[#This Row],[Module]], " ", Mapping[[#This Row],[Object Name]])</f>
        <v>Unassigned -</v>
      </c>
      <c r="K195" s="36" t="str">
        <f t="shared" ca="1" si="27"/>
        <v>CTn031</v>
      </c>
      <c r="L195" s="36" t="str">
        <f t="shared" ca="1" si="28"/>
        <v>-</v>
      </c>
      <c r="M195" s="47"/>
    </row>
    <row r="196" spans="1:13" x14ac:dyDescent="0.2">
      <c r="A196" s="46" t="s">
        <v>499</v>
      </c>
      <c r="B196" s="55">
        <f t="shared" si="36"/>
        <v>32</v>
      </c>
      <c r="C196" s="36" t="str">
        <f t="shared" ca="1" si="29"/>
        <v>Unassigned</v>
      </c>
      <c r="D196" s="36" t="str">
        <f t="shared" ca="1" si="30"/>
        <v>Unassigned</v>
      </c>
      <c r="E196" s="36">
        <f t="shared" ca="1" si="31"/>
        <v>0</v>
      </c>
      <c r="F196" s="36" t="str">
        <f t="shared" ca="1" si="32"/>
        <v>OUT</v>
      </c>
      <c r="G196" s="36">
        <f t="shared" ca="1" si="33"/>
        <v>0</v>
      </c>
      <c r="H196" s="36" t="str">
        <f t="shared" ca="1" si="34"/>
        <v>-</v>
      </c>
      <c r="I196" s="49" t="e">
        <f ca="1">VLOOKUP(Mapping[[#This Row],[Object Name]],PCB_PIN_TABLE,2, FALSE)</f>
        <v>#N/A</v>
      </c>
      <c r="J196" s="36" t="str">
        <f ca="1">_xlfn.CONCAT(Mapping[[#This Row],[Module]], " ", Mapping[[#This Row],[Object Name]])</f>
        <v>Unassigned -</v>
      </c>
      <c r="K196" s="36" t="str">
        <f t="shared" ca="1" si="27"/>
        <v>CTn032</v>
      </c>
      <c r="L196" s="36" t="str">
        <f t="shared" ca="1" si="28"/>
        <v>-</v>
      </c>
      <c r="M196" s="47"/>
    </row>
    <row r="197" spans="1:13" x14ac:dyDescent="0.2">
      <c r="A197" s="46" t="s">
        <v>499</v>
      </c>
      <c r="B197" s="55">
        <f t="shared" si="36"/>
        <v>33</v>
      </c>
      <c r="C197" s="36" t="str">
        <f t="shared" ca="1" si="29"/>
        <v>CTC_XOVR_RIGHT</v>
      </c>
      <c r="D197" s="36" t="str">
        <f t="shared" ca="1" si="30"/>
        <v>Signal Head</v>
      </c>
      <c r="E197" s="36" t="str">
        <f t="shared" ca="1" si="31"/>
        <v>Throw</v>
      </c>
      <c r="F197" s="36" t="str">
        <f t="shared" ca="1" si="32"/>
        <v>OUT</v>
      </c>
      <c r="G197" s="36">
        <f t="shared" ca="1" si="33"/>
        <v>0</v>
      </c>
      <c r="H197" s="36" t="str">
        <f t="shared" ca="1" si="34"/>
        <v>CTC_XOVR_RIGHT:IME:DBL:HEAD0:RED</v>
      </c>
      <c r="I197" s="49" t="e">
        <f ca="1">VLOOKUP(Mapping[[#This Row],[Object Name]],PCB_PIN_TABLE,2, FALSE)</f>
        <v>#N/A</v>
      </c>
      <c r="J197" s="36" t="str">
        <f ca="1">_xlfn.CONCAT(Mapping[[#This Row],[Module]], " ", Mapping[[#This Row],[Object Name]])</f>
        <v>CTC_XOVR_RIGHT CTC_XOVR_RIGHT:IME:DBL:HEAD0:RED</v>
      </c>
      <c r="K197" s="36" t="str">
        <f t="shared" ref="K197:K260" ca="1" si="37">INDEX(INDIRECT(VLOOKUP(A197,NODE_TABLE,3)),B197,K$3,1)</f>
        <v>CTn033</v>
      </c>
      <c r="L197" s="36" t="str">
        <f t="shared" ref="L197:L260" ca="1" si="38">INDEX(INDIRECT(VLOOKUP(A197,NODE_TABLE,3)),B197,L$3,1)</f>
        <v>-</v>
      </c>
      <c r="M197" s="47"/>
    </row>
    <row r="198" spans="1:13" x14ac:dyDescent="0.2">
      <c r="A198" s="46" t="s">
        <v>499</v>
      </c>
      <c r="B198" s="55">
        <f t="shared" si="36"/>
        <v>34</v>
      </c>
      <c r="C198" s="36" t="str">
        <f t="shared" ref="C198:C261" ca="1" si="39">INDEX(INDIRECT(VLOOKUP(A198,NODE_TABLE, 3)),B198,C$3,1)</f>
        <v>CTC_XOVR_RIGHT</v>
      </c>
      <c r="D198" s="36" t="str">
        <f t="shared" ref="D198:D261" ca="1" si="40">INDEX(INDIRECT(VLOOKUP(A198,NODE_TABLE, 3)),B198,D$3,1)</f>
        <v>Signal Head</v>
      </c>
      <c r="E198" s="36" t="str">
        <f t="shared" ref="E198:E261" ca="1" si="41">INDEX(INDIRECT(VLOOKUP(A198,NODE_TABLE, 3)),B198,E$3,1)</f>
        <v>Throw</v>
      </c>
      <c r="F198" s="36" t="str">
        <f t="shared" ref="F198:F261" ca="1" si="42">INDEX(INDIRECT(VLOOKUP(A198,NODE_TABLE,3)),B198,F$3,1)</f>
        <v>OUT</v>
      </c>
      <c r="G198" s="36">
        <f t="shared" ref="G198:G261" ca="1" si="43">INDEX(INDIRECT(VLOOKUP(A198,NODE_TABLE,3)),B198,G$3,1)</f>
        <v>0</v>
      </c>
      <c r="H198" s="36" t="str">
        <f t="shared" ref="H198:H261" ca="1" si="44">INDEX(INDIRECT(VLOOKUP(A198,NODE_TABLE,3)),B198,H$3,1)</f>
        <v>CTC_XOVR_RIGHT:IME:DBL:HEAD0:YEL</v>
      </c>
      <c r="I198" s="49" t="e">
        <f ca="1">VLOOKUP(Mapping[[#This Row],[Object Name]],PCB_PIN_TABLE,2, FALSE)</f>
        <v>#N/A</v>
      </c>
      <c r="J198" s="36" t="str">
        <f ca="1">_xlfn.CONCAT(Mapping[[#This Row],[Module]], " ", Mapping[[#This Row],[Object Name]])</f>
        <v>CTC_XOVR_RIGHT CTC_XOVR_RIGHT:IME:DBL:HEAD0:YEL</v>
      </c>
      <c r="K198" s="36" t="str">
        <f t="shared" ca="1" si="37"/>
        <v>CTn034</v>
      </c>
      <c r="L198" s="36" t="str">
        <f t="shared" ca="1" si="38"/>
        <v>-</v>
      </c>
      <c r="M198" s="47"/>
    </row>
    <row r="199" spans="1:13" x14ac:dyDescent="0.2">
      <c r="A199" s="46" t="s">
        <v>499</v>
      </c>
      <c r="B199" s="55">
        <f t="shared" si="36"/>
        <v>35</v>
      </c>
      <c r="C199" s="36" t="str">
        <f t="shared" ca="1" si="39"/>
        <v>CTC_XOVR_RIGHT</v>
      </c>
      <c r="D199" s="36" t="str">
        <f t="shared" ca="1" si="40"/>
        <v>Signal Head</v>
      </c>
      <c r="E199" s="36" t="str">
        <f t="shared" ca="1" si="41"/>
        <v>Throw</v>
      </c>
      <c r="F199" s="36" t="str">
        <f t="shared" ca="1" si="42"/>
        <v>OUT</v>
      </c>
      <c r="G199" s="36">
        <f t="shared" ca="1" si="43"/>
        <v>0</v>
      </c>
      <c r="H199" s="36" t="str">
        <f t="shared" ca="1" si="44"/>
        <v>CTC_XOVR_RIGHT:IME:DBL:HEAD0:GRN</v>
      </c>
      <c r="I199" s="49" t="e">
        <f ca="1">VLOOKUP(Mapping[[#This Row],[Object Name]],PCB_PIN_TABLE,2, FALSE)</f>
        <v>#N/A</v>
      </c>
      <c r="J199" s="36" t="str">
        <f ca="1">_xlfn.CONCAT(Mapping[[#This Row],[Module]], " ", Mapping[[#This Row],[Object Name]])</f>
        <v>CTC_XOVR_RIGHT CTC_XOVR_RIGHT:IME:DBL:HEAD0:GRN</v>
      </c>
      <c r="K199" s="36" t="str">
        <f t="shared" ca="1" si="37"/>
        <v>CTn035</v>
      </c>
      <c r="L199" s="36" t="str">
        <f t="shared" ca="1" si="38"/>
        <v>-</v>
      </c>
      <c r="M199" s="47"/>
    </row>
    <row r="200" spans="1:13" x14ac:dyDescent="0.2">
      <c r="A200" s="46" t="s">
        <v>499</v>
      </c>
      <c r="B200" s="55">
        <f t="shared" si="36"/>
        <v>36</v>
      </c>
      <c r="C200" s="36" t="str">
        <f t="shared" ca="1" si="39"/>
        <v>CTC_XOVR_RIGHT</v>
      </c>
      <c r="D200" s="36" t="str">
        <f t="shared" ca="1" si="40"/>
        <v>Signal Head</v>
      </c>
      <c r="E200" s="36" t="str">
        <f t="shared" ca="1" si="41"/>
        <v>Throw</v>
      </c>
      <c r="F200" s="36" t="str">
        <f t="shared" ca="1" si="42"/>
        <v>OUT</v>
      </c>
      <c r="G200" s="36">
        <f t="shared" ca="1" si="43"/>
        <v>0</v>
      </c>
      <c r="H200" s="36" t="str">
        <f t="shared" ca="1" si="44"/>
        <v>CTC_XOVR_RIGHT:IME:DBL:HEAD1:RED</v>
      </c>
      <c r="I200" s="49" t="e">
        <f ca="1">VLOOKUP(Mapping[[#This Row],[Object Name]],PCB_PIN_TABLE,2, FALSE)</f>
        <v>#N/A</v>
      </c>
      <c r="J200" s="36" t="str">
        <f ca="1">_xlfn.CONCAT(Mapping[[#This Row],[Module]], " ", Mapping[[#This Row],[Object Name]])</f>
        <v>CTC_XOVR_RIGHT CTC_XOVR_RIGHT:IME:DBL:HEAD1:RED</v>
      </c>
      <c r="K200" s="36" t="str">
        <f t="shared" ca="1" si="37"/>
        <v>CTn036</v>
      </c>
      <c r="L200" s="36" t="str">
        <f t="shared" ca="1" si="38"/>
        <v>-</v>
      </c>
      <c r="M200" s="47"/>
    </row>
    <row r="201" spans="1:13" x14ac:dyDescent="0.2">
      <c r="A201" s="46" t="s">
        <v>499</v>
      </c>
      <c r="B201" s="55">
        <f t="shared" si="36"/>
        <v>37</v>
      </c>
      <c r="C201" s="36" t="str">
        <f t="shared" ca="1" si="39"/>
        <v>CTC_XOVR_RIGHT</v>
      </c>
      <c r="D201" s="36" t="str">
        <f t="shared" ca="1" si="40"/>
        <v>Signal Head</v>
      </c>
      <c r="E201" s="36" t="str">
        <f t="shared" ca="1" si="41"/>
        <v>Throw</v>
      </c>
      <c r="F201" s="36" t="str">
        <f t="shared" ca="1" si="42"/>
        <v>OUT</v>
      </c>
      <c r="G201" s="36">
        <f t="shared" ca="1" si="43"/>
        <v>0</v>
      </c>
      <c r="H201" s="36" t="str">
        <f t="shared" ca="1" si="44"/>
        <v>CTC_XOVR_RIGHT:IME:DBL:HEAD1:YEL</v>
      </c>
      <c r="I201" s="49" t="e">
        <f ca="1">VLOOKUP(Mapping[[#This Row],[Object Name]],PCB_PIN_TABLE,2, FALSE)</f>
        <v>#N/A</v>
      </c>
      <c r="J201" s="36" t="str">
        <f ca="1">_xlfn.CONCAT(Mapping[[#This Row],[Module]], " ", Mapping[[#This Row],[Object Name]])</f>
        <v>CTC_XOVR_RIGHT CTC_XOVR_RIGHT:IME:DBL:HEAD1:YEL</v>
      </c>
      <c r="K201" s="36" t="str">
        <f t="shared" ca="1" si="37"/>
        <v>CSn037</v>
      </c>
      <c r="L201" s="36" t="str">
        <f t="shared" ca="1" si="38"/>
        <v>-</v>
      </c>
      <c r="M201" s="47"/>
    </row>
    <row r="202" spans="1:13" x14ac:dyDescent="0.2">
      <c r="A202" s="46" t="s">
        <v>499</v>
      </c>
      <c r="B202" s="55">
        <f t="shared" si="36"/>
        <v>38</v>
      </c>
      <c r="C202" s="36" t="str">
        <f t="shared" ca="1" si="39"/>
        <v>CTC_XOVR_RIGHT</v>
      </c>
      <c r="D202" s="36" t="str">
        <f t="shared" ca="1" si="40"/>
        <v>Signal Head</v>
      </c>
      <c r="E202" s="36" t="str">
        <f t="shared" ca="1" si="41"/>
        <v>Throw</v>
      </c>
      <c r="F202" s="36" t="str">
        <f t="shared" ca="1" si="42"/>
        <v>OUT</v>
      </c>
      <c r="G202" s="36">
        <f t="shared" ca="1" si="43"/>
        <v>0</v>
      </c>
      <c r="H202" s="36" t="str">
        <f t="shared" ca="1" si="44"/>
        <v>CTC_XOVR_RIGHT:IME:DBL:HEAD1:GRN</v>
      </c>
      <c r="I202" s="49" t="e">
        <f ca="1">VLOOKUP(Mapping[[#This Row],[Object Name]],PCB_PIN_TABLE,2, FALSE)</f>
        <v>#N/A</v>
      </c>
      <c r="J202" s="36" t="str">
        <f ca="1">_xlfn.CONCAT(Mapping[[#This Row],[Module]], " ", Mapping[[#This Row],[Object Name]])</f>
        <v>CTC_XOVR_RIGHT CTC_XOVR_RIGHT:IME:DBL:HEAD1:GRN</v>
      </c>
      <c r="K202" s="36" t="str">
        <f t="shared" ca="1" si="37"/>
        <v>CTn038</v>
      </c>
      <c r="L202" s="36" t="str">
        <f t="shared" ca="1" si="38"/>
        <v>-</v>
      </c>
      <c r="M202" s="47"/>
    </row>
    <row r="203" spans="1:13" x14ac:dyDescent="0.2">
      <c r="A203" s="46" t="s">
        <v>499</v>
      </c>
      <c r="B203" s="55">
        <f t="shared" si="36"/>
        <v>39</v>
      </c>
      <c r="C203" s="36" t="str">
        <f t="shared" ca="1" si="39"/>
        <v>CTC_XOVR_RIGHT</v>
      </c>
      <c r="D203" s="36" t="str">
        <f t="shared" ca="1" si="40"/>
        <v>Signal Head</v>
      </c>
      <c r="E203" s="36" t="str">
        <f t="shared" ca="1" si="41"/>
        <v>Throw</v>
      </c>
      <c r="F203" s="36" t="str">
        <f t="shared" ca="1" si="42"/>
        <v>OUT</v>
      </c>
      <c r="G203" s="36">
        <f t="shared" ca="1" si="43"/>
        <v>0</v>
      </c>
      <c r="H203" s="36" t="str">
        <f t="shared" ca="1" si="44"/>
        <v>CTC_XOVR_RIGHT:IMW:DBL:HEAD0:RED</v>
      </c>
      <c r="I203" s="49" t="e">
        <f ca="1">VLOOKUP(Mapping[[#This Row],[Object Name]],PCB_PIN_TABLE,2, FALSE)</f>
        <v>#N/A</v>
      </c>
      <c r="J203" s="36" t="str">
        <f ca="1">_xlfn.CONCAT(Mapping[[#This Row],[Module]], " ", Mapping[[#This Row],[Object Name]])</f>
        <v>CTC_XOVR_RIGHT CTC_XOVR_RIGHT:IMW:DBL:HEAD0:RED</v>
      </c>
      <c r="K203" s="36" t="str">
        <f t="shared" ca="1" si="37"/>
        <v>CTn039</v>
      </c>
      <c r="L203" s="36" t="str">
        <f t="shared" ca="1" si="38"/>
        <v>-</v>
      </c>
      <c r="M203" s="47"/>
    </row>
    <row r="204" spans="1:13" x14ac:dyDescent="0.2">
      <c r="A204" s="46" t="s">
        <v>499</v>
      </c>
      <c r="B204" s="55">
        <f t="shared" si="36"/>
        <v>40</v>
      </c>
      <c r="C204" s="36" t="str">
        <f t="shared" ca="1" si="39"/>
        <v>CTC_XOVR_RIGHT</v>
      </c>
      <c r="D204" s="36" t="str">
        <f t="shared" ca="1" si="40"/>
        <v>Signal Head</v>
      </c>
      <c r="E204" s="36" t="str">
        <f t="shared" ca="1" si="41"/>
        <v>Throw</v>
      </c>
      <c r="F204" s="36" t="str">
        <f t="shared" ca="1" si="42"/>
        <v>OUT</v>
      </c>
      <c r="G204" s="36">
        <f t="shared" ca="1" si="43"/>
        <v>0</v>
      </c>
      <c r="H204" s="36" t="str">
        <f t="shared" ca="1" si="44"/>
        <v>CTC_XOVR_RIGHT:IMW:DBL:HEAD0:YEL</v>
      </c>
      <c r="I204" s="49" t="e">
        <f ca="1">VLOOKUP(Mapping[[#This Row],[Object Name]],PCB_PIN_TABLE,2, FALSE)</f>
        <v>#N/A</v>
      </c>
      <c r="J204" s="36" t="str">
        <f ca="1">_xlfn.CONCAT(Mapping[[#This Row],[Module]], " ", Mapping[[#This Row],[Object Name]])</f>
        <v>CTC_XOVR_RIGHT CTC_XOVR_RIGHT:IMW:DBL:HEAD0:YEL</v>
      </c>
      <c r="K204" s="36" t="str">
        <f t="shared" ca="1" si="37"/>
        <v>CTn040</v>
      </c>
      <c r="L204" s="36" t="str">
        <f t="shared" ca="1" si="38"/>
        <v>-</v>
      </c>
      <c r="M204" s="47"/>
    </row>
    <row r="205" spans="1:13" x14ac:dyDescent="0.2">
      <c r="A205" s="46" t="s">
        <v>499</v>
      </c>
      <c r="B205" s="55">
        <f t="shared" si="36"/>
        <v>41</v>
      </c>
      <c r="C205" s="36" t="str">
        <f t="shared" ca="1" si="39"/>
        <v>CTC_XOVR_RIGHT</v>
      </c>
      <c r="D205" s="36" t="str">
        <f t="shared" ca="1" si="40"/>
        <v>Signal Head</v>
      </c>
      <c r="E205" s="36" t="str">
        <f t="shared" ca="1" si="41"/>
        <v>Throw</v>
      </c>
      <c r="F205" s="36" t="str">
        <f t="shared" ca="1" si="42"/>
        <v>OUT</v>
      </c>
      <c r="G205" s="36">
        <f t="shared" ca="1" si="43"/>
        <v>0</v>
      </c>
      <c r="H205" s="36" t="str">
        <f t="shared" ca="1" si="44"/>
        <v>CTC_XOVR_RIGHT:IMW:DBL:HEAD0:GRN</v>
      </c>
      <c r="I205" s="49" t="e">
        <f ca="1">VLOOKUP(Mapping[[#This Row],[Object Name]],PCB_PIN_TABLE,2, FALSE)</f>
        <v>#N/A</v>
      </c>
      <c r="J205" s="36" t="str">
        <f ca="1">_xlfn.CONCAT(Mapping[[#This Row],[Module]], " ", Mapping[[#This Row],[Object Name]])</f>
        <v>CTC_XOVR_RIGHT CTC_XOVR_RIGHT:IMW:DBL:HEAD0:GRN</v>
      </c>
      <c r="K205" s="36" t="str">
        <f t="shared" ca="1" si="37"/>
        <v>CTn041</v>
      </c>
      <c r="L205" s="36" t="str">
        <f t="shared" ca="1" si="38"/>
        <v>-</v>
      </c>
      <c r="M205" s="47"/>
    </row>
    <row r="206" spans="1:13" x14ac:dyDescent="0.2">
      <c r="A206" s="46" t="s">
        <v>499</v>
      </c>
      <c r="B206" s="55">
        <f t="shared" si="36"/>
        <v>42</v>
      </c>
      <c r="C206" s="36" t="str">
        <f t="shared" ca="1" si="39"/>
        <v>CTC_XOVR_RIGHT</v>
      </c>
      <c r="D206" s="36" t="str">
        <f t="shared" ca="1" si="40"/>
        <v>Signal Head</v>
      </c>
      <c r="E206" s="36" t="str">
        <f t="shared" ca="1" si="41"/>
        <v>Throw</v>
      </c>
      <c r="F206" s="36" t="str">
        <f t="shared" ca="1" si="42"/>
        <v>OUT</v>
      </c>
      <c r="G206" s="36">
        <f t="shared" ca="1" si="43"/>
        <v>0</v>
      </c>
      <c r="H206" s="36" t="str">
        <f t="shared" ca="1" si="44"/>
        <v>CTC_XOVR_RIGHT:IMW:DBL:HEAD1:RED</v>
      </c>
      <c r="I206" s="49" t="e">
        <f ca="1">VLOOKUP(Mapping[[#This Row],[Object Name]],PCB_PIN_TABLE,2, FALSE)</f>
        <v>#N/A</v>
      </c>
      <c r="J206" s="36" t="str">
        <f ca="1">_xlfn.CONCAT(Mapping[[#This Row],[Module]], " ", Mapping[[#This Row],[Object Name]])</f>
        <v>CTC_XOVR_RIGHT CTC_XOVR_RIGHT:IMW:DBL:HEAD1:RED</v>
      </c>
      <c r="K206" s="36" t="str">
        <f t="shared" ca="1" si="37"/>
        <v>CTn042</v>
      </c>
      <c r="L206" s="36" t="str">
        <f t="shared" ca="1" si="38"/>
        <v>-</v>
      </c>
      <c r="M206" s="47"/>
    </row>
    <row r="207" spans="1:13" x14ac:dyDescent="0.2">
      <c r="A207" s="46" t="s">
        <v>499</v>
      </c>
      <c r="B207" s="55">
        <f t="shared" si="36"/>
        <v>43</v>
      </c>
      <c r="C207" s="36" t="str">
        <f t="shared" ca="1" si="39"/>
        <v>CTC_XOVR_RIGHT</v>
      </c>
      <c r="D207" s="36" t="str">
        <f t="shared" ca="1" si="40"/>
        <v>Signal Head</v>
      </c>
      <c r="E207" s="36" t="str">
        <f t="shared" ca="1" si="41"/>
        <v>Throw</v>
      </c>
      <c r="F207" s="36" t="str">
        <f t="shared" ca="1" si="42"/>
        <v>OUT</v>
      </c>
      <c r="G207" s="36">
        <f t="shared" ca="1" si="43"/>
        <v>0</v>
      </c>
      <c r="H207" s="36" t="str">
        <f t="shared" ca="1" si="44"/>
        <v>CTC_XOVR_RIGHT:IMW:DBL:HEAD1:YEL</v>
      </c>
      <c r="I207" s="49" t="e">
        <f ca="1">VLOOKUP(Mapping[[#This Row],[Object Name]],PCB_PIN_TABLE,2, FALSE)</f>
        <v>#N/A</v>
      </c>
      <c r="J207" s="36" t="str">
        <f ca="1">_xlfn.CONCAT(Mapping[[#This Row],[Module]], " ", Mapping[[#This Row],[Object Name]])</f>
        <v>CTC_XOVR_RIGHT CTC_XOVR_RIGHT:IMW:DBL:HEAD1:YEL</v>
      </c>
      <c r="K207" s="36" t="str">
        <f t="shared" ca="1" si="37"/>
        <v>CTn043</v>
      </c>
      <c r="L207" s="36" t="str">
        <f t="shared" ca="1" si="38"/>
        <v>-</v>
      </c>
      <c r="M207" s="47"/>
    </row>
    <row r="208" spans="1:13" x14ac:dyDescent="0.2">
      <c r="A208" s="46" t="s">
        <v>499</v>
      </c>
      <c r="B208" s="55">
        <f t="shared" si="36"/>
        <v>44</v>
      </c>
      <c r="C208" s="36" t="str">
        <f t="shared" ca="1" si="39"/>
        <v>CTC_XOVR_RIGHT</v>
      </c>
      <c r="D208" s="36" t="str">
        <f t="shared" ca="1" si="40"/>
        <v>Signal Head</v>
      </c>
      <c r="E208" s="36" t="str">
        <f t="shared" ca="1" si="41"/>
        <v>Throw</v>
      </c>
      <c r="F208" s="36" t="str">
        <f t="shared" ca="1" si="42"/>
        <v>OUT</v>
      </c>
      <c r="G208" s="36">
        <f t="shared" ca="1" si="43"/>
        <v>0</v>
      </c>
      <c r="H208" s="36" t="str">
        <f t="shared" ca="1" si="44"/>
        <v>CTC_XOVR_RIGHT:IMW:DBL:HEAD1:GRN</v>
      </c>
      <c r="I208" s="49" t="e">
        <f ca="1">VLOOKUP(Mapping[[#This Row],[Object Name]],PCB_PIN_TABLE,2, FALSE)</f>
        <v>#N/A</v>
      </c>
      <c r="J208" s="36" t="str">
        <f ca="1">_xlfn.CONCAT(Mapping[[#This Row],[Module]], " ", Mapping[[#This Row],[Object Name]])</f>
        <v>CTC_XOVR_RIGHT CTC_XOVR_RIGHT:IMW:DBL:HEAD1:GRN</v>
      </c>
      <c r="K208" s="36" t="str">
        <f t="shared" ca="1" si="37"/>
        <v>CTn044</v>
      </c>
      <c r="L208" s="36" t="str">
        <f t="shared" ca="1" si="38"/>
        <v>-</v>
      </c>
      <c r="M208" s="47"/>
    </row>
    <row r="209" spans="1:13" x14ac:dyDescent="0.2">
      <c r="A209" s="46" t="s">
        <v>499</v>
      </c>
      <c r="B209" s="55">
        <f t="shared" si="36"/>
        <v>45</v>
      </c>
      <c r="C209" s="36" t="str">
        <f t="shared" ca="1" si="39"/>
        <v>Unassigned</v>
      </c>
      <c r="D209" s="36" t="str">
        <f t="shared" ca="1" si="40"/>
        <v>Unassigned</v>
      </c>
      <c r="E209" s="36">
        <f t="shared" ca="1" si="41"/>
        <v>0</v>
      </c>
      <c r="F209" s="36" t="str">
        <f t="shared" ca="1" si="42"/>
        <v>OUT</v>
      </c>
      <c r="G209" s="36">
        <f t="shared" ca="1" si="43"/>
        <v>0</v>
      </c>
      <c r="H209" s="36" t="str">
        <f t="shared" ca="1" si="44"/>
        <v>-</v>
      </c>
      <c r="I209" s="49" t="e">
        <f ca="1">VLOOKUP(Mapping[[#This Row],[Object Name]],PCB_PIN_TABLE,2, FALSE)</f>
        <v>#N/A</v>
      </c>
      <c r="J209" s="36" t="str">
        <f ca="1">_xlfn.CONCAT(Mapping[[#This Row],[Module]], " ", Mapping[[#This Row],[Object Name]])</f>
        <v>Unassigned -</v>
      </c>
      <c r="K209" s="36" t="str">
        <f t="shared" ca="1" si="37"/>
        <v>CTn045</v>
      </c>
      <c r="L209" s="36" t="str">
        <f t="shared" ca="1" si="38"/>
        <v>-</v>
      </c>
      <c r="M209" s="47"/>
    </row>
    <row r="210" spans="1:13" x14ac:dyDescent="0.2">
      <c r="A210" s="46" t="s">
        <v>499</v>
      </c>
      <c r="B210" s="55">
        <f t="shared" si="36"/>
        <v>46</v>
      </c>
      <c r="C210" s="36" t="str">
        <f t="shared" ca="1" si="39"/>
        <v>Unassigned</v>
      </c>
      <c r="D210" s="36" t="str">
        <f t="shared" ca="1" si="40"/>
        <v>Unassigned</v>
      </c>
      <c r="E210" s="36">
        <f t="shared" ca="1" si="41"/>
        <v>0</v>
      </c>
      <c r="F210" s="36" t="str">
        <f t="shared" ca="1" si="42"/>
        <v>OUT</v>
      </c>
      <c r="G210" s="36">
        <f t="shared" ca="1" si="43"/>
        <v>0</v>
      </c>
      <c r="H210" s="36" t="str">
        <f t="shared" ca="1" si="44"/>
        <v>-</v>
      </c>
      <c r="I210" s="49" t="e">
        <f ca="1">VLOOKUP(Mapping[[#This Row],[Object Name]],PCB_PIN_TABLE,2, FALSE)</f>
        <v>#N/A</v>
      </c>
      <c r="J210" s="36" t="str">
        <f ca="1">_xlfn.CONCAT(Mapping[[#This Row],[Module]], " ", Mapping[[#This Row],[Object Name]])</f>
        <v>Unassigned -</v>
      </c>
      <c r="K210" s="36" t="str">
        <f t="shared" ca="1" si="37"/>
        <v>CTn046</v>
      </c>
      <c r="L210" s="36" t="str">
        <f t="shared" ca="1" si="38"/>
        <v>-</v>
      </c>
      <c r="M210" s="47"/>
    </row>
    <row r="211" spans="1:13" x14ac:dyDescent="0.2">
      <c r="A211" s="46" t="s">
        <v>499</v>
      </c>
      <c r="B211" s="55">
        <f t="shared" si="36"/>
        <v>47</v>
      </c>
      <c r="C211" s="36" t="str">
        <f t="shared" ca="1" si="39"/>
        <v>Unassigned</v>
      </c>
      <c r="D211" s="36" t="str">
        <f t="shared" ca="1" si="40"/>
        <v>Unassigned</v>
      </c>
      <c r="E211" s="36">
        <f t="shared" ca="1" si="41"/>
        <v>0</v>
      </c>
      <c r="F211" s="36" t="str">
        <f t="shared" ca="1" si="42"/>
        <v>OUT</v>
      </c>
      <c r="G211" s="36">
        <f t="shared" ca="1" si="43"/>
        <v>0</v>
      </c>
      <c r="H211" s="36" t="str">
        <f t="shared" ca="1" si="44"/>
        <v>-</v>
      </c>
      <c r="I211" s="49" t="e">
        <f ca="1">VLOOKUP(Mapping[[#This Row],[Object Name]],PCB_PIN_TABLE,2, FALSE)</f>
        <v>#N/A</v>
      </c>
      <c r="J211" s="36" t="str">
        <f ca="1">_xlfn.CONCAT(Mapping[[#This Row],[Module]], " ", Mapping[[#This Row],[Object Name]])</f>
        <v>Unassigned -</v>
      </c>
      <c r="K211" s="36" t="str">
        <f t="shared" ca="1" si="37"/>
        <v>CTn047</v>
      </c>
      <c r="L211" s="36" t="str">
        <f t="shared" ca="1" si="38"/>
        <v>-</v>
      </c>
      <c r="M211" s="47"/>
    </row>
    <row r="212" spans="1:13" x14ac:dyDescent="0.2">
      <c r="A212" s="46" t="s">
        <v>499</v>
      </c>
      <c r="B212" s="55">
        <f t="shared" si="36"/>
        <v>48</v>
      </c>
      <c r="C212" s="36" t="str">
        <f t="shared" ca="1" si="39"/>
        <v>Unassigned</v>
      </c>
      <c r="D212" s="36" t="str">
        <f t="shared" ca="1" si="40"/>
        <v>Unassigned</v>
      </c>
      <c r="E212" s="36">
        <f t="shared" ca="1" si="41"/>
        <v>0</v>
      </c>
      <c r="F212" s="36" t="str">
        <f t="shared" ca="1" si="42"/>
        <v>OUT</v>
      </c>
      <c r="G212" s="36">
        <f t="shared" ca="1" si="43"/>
        <v>0</v>
      </c>
      <c r="H212" s="36" t="str">
        <f t="shared" ca="1" si="44"/>
        <v>-</v>
      </c>
      <c r="I212" s="49" t="e">
        <f ca="1">VLOOKUP(Mapping[[#This Row],[Object Name]],PCB_PIN_TABLE,2, FALSE)</f>
        <v>#N/A</v>
      </c>
      <c r="J212" s="36" t="str">
        <f ca="1">_xlfn.CONCAT(Mapping[[#This Row],[Module]], " ", Mapping[[#This Row],[Object Name]])</f>
        <v>Unassigned -</v>
      </c>
      <c r="K212" s="36" t="str">
        <f t="shared" ca="1" si="37"/>
        <v>CTn048</v>
      </c>
      <c r="L212" s="36" t="str">
        <f t="shared" ca="1" si="38"/>
        <v>-</v>
      </c>
      <c r="M212" s="47"/>
    </row>
    <row r="213" spans="1:13" x14ac:dyDescent="0.2">
      <c r="A213" s="46" t="s">
        <v>500</v>
      </c>
      <c r="B213" s="55">
        <f t="shared" si="36"/>
        <v>1</v>
      </c>
      <c r="C213" s="36" t="str">
        <f t="shared" ca="1" si="39"/>
        <v>CTC_XOVR_LEFT</v>
      </c>
      <c r="D213" s="36" t="str">
        <f t="shared" ca="1" si="40"/>
        <v>Occupied Report</v>
      </c>
      <c r="E213" s="36" t="str">
        <f t="shared" ca="1" si="41"/>
        <v>Throw</v>
      </c>
      <c r="F213" s="36" t="str">
        <f t="shared" ca="1" si="42"/>
        <v>IN</v>
      </c>
      <c r="G213" s="36">
        <f t="shared" ca="1" si="43"/>
        <v>0</v>
      </c>
      <c r="H213" s="36" t="str">
        <f t="shared" ca="1" si="44"/>
        <v>CTC_XOVR_LEFT:OME:TS1</v>
      </c>
      <c r="I213" s="49" t="e">
        <f ca="1">VLOOKUP(Mapping[[#This Row],[Object Name]],PCB_PIN_TABLE,2, FALSE)</f>
        <v>#N/A</v>
      </c>
      <c r="J213" s="36" t="str">
        <f ca="1">_xlfn.CONCAT(Mapping[[#This Row],[Module]], " ", Mapping[[#This Row],[Object Name]])</f>
        <v>CTC_XOVR_LEFT CTC_XOVR_LEFT:OME:TS1</v>
      </c>
      <c r="K213" s="36" t="str">
        <f t="shared" ca="1" si="37"/>
        <v>CSn001</v>
      </c>
      <c r="L213" s="36" t="str">
        <f t="shared" ca="1" si="38"/>
        <v>-</v>
      </c>
      <c r="M213" s="47"/>
    </row>
    <row r="214" spans="1:13" x14ac:dyDescent="0.2">
      <c r="A214" s="46" t="s">
        <v>500</v>
      </c>
      <c r="B214" s="55">
        <f t="shared" ref="B214:B260" si="45">IF(A213&lt;&gt;A214,1,B213+1)</f>
        <v>2</v>
      </c>
      <c r="C214" s="36" t="str">
        <f t="shared" ca="1" si="39"/>
        <v>CTC_XOVR_LEFT</v>
      </c>
      <c r="D214" s="36" t="str">
        <f t="shared" ca="1" si="40"/>
        <v>Occupied Report</v>
      </c>
      <c r="E214" s="36" t="str">
        <f t="shared" ca="1" si="41"/>
        <v>Throw</v>
      </c>
      <c r="F214" s="36" t="str">
        <f t="shared" ca="1" si="42"/>
        <v>IN</v>
      </c>
      <c r="G214" s="36">
        <f t="shared" ca="1" si="43"/>
        <v>0</v>
      </c>
      <c r="H214" s="36" t="str">
        <f t="shared" ca="1" si="44"/>
        <v>CTC_XOVR_LEFT:OME:TS2</v>
      </c>
      <c r="I214" s="49" t="e">
        <f ca="1">VLOOKUP(Mapping[[#This Row],[Object Name]],PCB_PIN_TABLE,2, FALSE)</f>
        <v>#N/A</v>
      </c>
      <c r="J214" s="36" t="str">
        <f ca="1">_xlfn.CONCAT(Mapping[[#This Row],[Module]], " ", Mapping[[#This Row],[Object Name]])</f>
        <v>CTC_XOVR_LEFT CTC_XOVR_LEFT:OME:TS2</v>
      </c>
      <c r="K214" s="36" t="str">
        <f t="shared" ca="1" si="37"/>
        <v>CSn002</v>
      </c>
      <c r="L214" s="36" t="str">
        <f t="shared" ca="1" si="38"/>
        <v>-</v>
      </c>
      <c r="M214" s="47"/>
    </row>
    <row r="215" spans="1:13" x14ac:dyDescent="0.2">
      <c r="A215" s="46" t="s">
        <v>500</v>
      </c>
      <c r="B215" s="55">
        <f t="shared" si="45"/>
        <v>3</v>
      </c>
      <c r="C215" s="36" t="str">
        <f t="shared" ca="1" si="39"/>
        <v>Unassigned</v>
      </c>
      <c r="D215" s="36" t="str">
        <f t="shared" ca="1" si="40"/>
        <v>Unassigned</v>
      </c>
      <c r="E215" s="36">
        <f t="shared" ca="1" si="41"/>
        <v>0</v>
      </c>
      <c r="F215" s="36" t="str">
        <f t="shared" ca="1" si="42"/>
        <v>IN</v>
      </c>
      <c r="G215" s="36">
        <f t="shared" ca="1" si="43"/>
        <v>0</v>
      </c>
      <c r="H215" s="36" t="str">
        <f t="shared" ca="1" si="44"/>
        <v>-</v>
      </c>
      <c r="I215" s="49" t="e">
        <f ca="1">VLOOKUP(Mapping[[#This Row],[Object Name]],PCB_PIN_TABLE,2, FALSE)</f>
        <v>#N/A</v>
      </c>
      <c r="J215" s="36" t="str">
        <f ca="1">_xlfn.CONCAT(Mapping[[#This Row],[Module]], " ", Mapping[[#This Row],[Object Name]])</f>
        <v>Unassigned -</v>
      </c>
      <c r="K215" s="36" t="str">
        <f t="shared" ca="1" si="37"/>
        <v>CSn003</v>
      </c>
      <c r="L215" s="36" t="str">
        <f t="shared" ca="1" si="38"/>
        <v>-</v>
      </c>
      <c r="M215" s="47"/>
    </row>
    <row r="216" spans="1:13" x14ac:dyDescent="0.2">
      <c r="A216" s="46" t="s">
        <v>500</v>
      </c>
      <c r="B216" s="55">
        <f t="shared" si="45"/>
        <v>4</v>
      </c>
      <c r="C216" s="36" t="str">
        <f t="shared" ca="1" si="39"/>
        <v>Unassigned</v>
      </c>
      <c r="D216" s="36" t="str">
        <f t="shared" ca="1" si="40"/>
        <v>Unassigned</v>
      </c>
      <c r="E216" s="36">
        <f t="shared" ca="1" si="41"/>
        <v>0</v>
      </c>
      <c r="F216" s="36" t="str">
        <f t="shared" ca="1" si="42"/>
        <v>IN</v>
      </c>
      <c r="G216" s="36">
        <f t="shared" ca="1" si="43"/>
        <v>0</v>
      </c>
      <c r="H216" s="36" t="str">
        <f t="shared" ca="1" si="44"/>
        <v>-</v>
      </c>
      <c r="I216" s="49" t="e">
        <f ca="1">VLOOKUP(Mapping[[#This Row],[Object Name]],PCB_PIN_TABLE,2, FALSE)</f>
        <v>#N/A</v>
      </c>
      <c r="J216" s="36" t="str">
        <f ca="1">_xlfn.CONCAT(Mapping[[#This Row],[Module]], " ", Mapping[[#This Row],[Object Name]])</f>
        <v>Unassigned -</v>
      </c>
      <c r="K216" s="36" t="str">
        <f t="shared" ca="1" si="37"/>
        <v>CSn004</v>
      </c>
      <c r="L216" s="36" t="str">
        <f t="shared" ca="1" si="38"/>
        <v>-</v>
      </c>
      <c r="M216" s="47"/>
    </row>
    <row r="217" spans="1:13" x14ac:dyDescent="0.2">
      <c r="A217" s="46" t="s">
        <v>500</v>
      </c>
      <c r="B217" s="55">
        <f t="shared" si="45"/>
        <v>5</v>
      </c>
      <c r="C217" s="36" t="str">
        <f t="shared" ca="1" si="39"/>
        <v>CTC_XOVR_LEFT</v>
      </c>
      <c r="D217" s="36" t="str">
        <f t="shared" ca="1" si="40"/>
        <v>Occupied Report</v>
      </c>
      <c r="E217" s="36" t="str">
        <f t="shared" ca="1" si="41"/>
        <v>Throw</v>
      </c>
      <c r="F217" s="36" t="str">
        <f t="shared" ca="1" si="42"/>
        <v>IN</v>
      </c>
      <c r="G217" s="36">
        <f t="shared" ca="1" si="43"/>
        <v>0</v>
      </c>
      <c r="H217" s="36" t="str">
        <f t="shared" ca="1" si="44"/>
        <v>CTC_XOVR_LEFT:IMW:TS1</v>
      </c>
      <c r="I217" s="49" t="e">
        <f ca="1">VLOOKUP(Mapping[[#This Row],[Object Name]],PCB_PIN_TABLE,2, FALSE)</f>
        <v>#N/A</v>
      </c>
      <c r="J217" s="36" t="str">
        <f ca="1">_xlfn.CONCAT(Mapping[[#This Row],[Module]], " ", Mapping[[#This Row],[Object Name]])</f>
        <v>CTC_XOVR_LEFT CTC_XOVR_LEFT:IMW:TS1</v>
      </c>
      <c r="K217" s="36" t="str">
        <f t="shared" ca="1" si="37"/>
        <v>CSn005</v>
      </c>
      <c r="L217" s="36" t="str">
        <f t="shared" ca="1" si="38"/>
        <v>-</v>
      </c>
      <c r="M217" s="47"/>
    </row>
    <row r="218" spans="1:13" x14ac:dyDescent="0.2">
      <c r="A218" s="46" t="s">
        <v>500</v>
      </c>
      <c r="B218" s="55">
        <f t="shared" si="45"/>
        <v>6</v>
      </c>
      <c r="C218" s="36" t="str">
        <f t="shared" ca="1" si="39"/>
        <v>CTC_XOVR_LEFT</v>
      </c>
      <c r="D218" s="36" t="str">
        <f t="shared" ca="1" si="40"/>
        <v>Occupied Report</v>
      </c>
      <c r="E218" s="36" t="str">
        <f t="shared" ca="1" si="41"/>
        <v>Throw</v>
      </c>
      <c r="F218" s="36" t="str">
        <f t="shared" ca="1" si="42"/>
        <v>IN</v>
      </c>
      <c r="G218" s="36">
        <f t="shared" ca="1" si="43"/>
        <v>0</v>
      </c>
      <c r="H218" s="36" t="str">
        <f t="shared" ca="1" si="44"/>
        <v>CTC_XOVR_LEFT:IMW:TS2</v>
      </c>
      <c r="I218" s="49" t="e">
        <f ca="1">VLOOKUP(Mapping[[#This Row],[Object Name]],PCB_PIN_TABLE,2, FALSE)</f>
        <v>#N/A</v>
      </c>
      <c r="J218" s="36" t="str">
        <f ca="1">_xlfn.CONCAT(Mapping[[#This Row],[Module]], " ", Mapping[[#This Row],[Object Name]])</f>
        <v>CTC_XOVR_LEFT CTC_XOVR_LEFT:IMW:TS2</v>
      </c>
      <c r="K218" s="36" t="str">
        <f t="shared" ca="1" si="37"/>
        <v>CSn006</v>
      </c>
      <c r="L218" s="36" t="str">
        <f t="shared" ca="1" si="38"/>
        <v>-</v>
      </c>
      <c r="M218" s="47"/>
    </row>
    <row r="219" spans="1:13" x14ac:dyDescent="0.2">
      <c r="A219" s="46" t="s">
        <v>500</v>
      </c>
      <c r="B219" s="55">
        <f t="shared" si="45"/>
        <v>7</v>
      </c>
      <c r="C219" s="36" t="str">
        <f t="shared" ca="1" si="39"/>
        <v>Unassigned</v>
      </c>
      <c r="D219" s="36" t="str">
        <f t="shared" ca="1" si="40"/>
        <v>Unassigned</v>
      </c>
      <c r="E219" s="36">
        <f t="shared" ca="1" si="41"/>
        <v>0</v>
      </c>
      <c r="F219" s="36" t="str">
        <f t="shared" ca="1" si="42"/>
        <v>IN</v>
      </c>
      <c r="G219" s="36">
        <f t="shared" ca="1" si="43"/>
        <v>0</v>
      </c>
      <c r="H219" s="36" t="str">
        <f t="shared" ca="1" si="44"/>
        <v>-</v>
      </c>
      <c r="I219" s="49" t="e">
        <f ca="1">VLOOKUP(Mapping[[#This Row],[Object Name]],PCB_PIN_TABLE,2, FALSE)</f>
        <v>#N/A</v>
      </c>
      <c r="J219" s="36" t="str">
        <f ca="1">_xlfn.CONCAT(Mapping[[#This Row],[Module]], " ", Mapping[[#This Row],[Object Name]])</f>
        <v>Unassigned -</v>
      </c>
      <c r="K219" s="36" t="str">
        <f t="shared" ca="1" si="37"/>
        <v>CSn007</v>
      </c>
      <c r="L219" s="36" t="str">
        <f t="shared" ca="1" si="38"/>
        <v>-</v>
      </c>
      <c r="M219" s="47"/>
    </row>
    <row r="220" spans="1:13" x14ac:dyDescent="0.2">
      <c r="A220" s="46" t="s">
        <v>500</v>
      </c>
      <c r="B220" s="55">
        <f t="shared" si="45"/>
        <v>8</v>
      </c>
      <c r="C220" s="36" t="str">
        <f t="shared" ca="1" si="39"/>
        <v>Unassigned</v>
      </c>
      <c r="D220" s="36" t="str">
        <f t="shared" ca="1" si="40"/>
        <v>Unassigned</v>
      </c>
      <c r="E220" s="36">
        <f t="shared" ca="1" si="41"/>
        <v>0</v>
      </c>
      <c r="F220" s="36" t="str">
        <f t="shared" ca="1" si="42"/>
        <v>IN</v>
      </c>
      <c r="G220" s="36">
        <f t="shared" ca="1" si="43"/>
        <v>0</v>
      </c>
      <c r="H220" s="36" t="str">
        <f t="shared" ca="1" si="44"/>
        <v>-</v>
      </c>
      <c r="I220" s="49" t="e">
        <f ca="1">VLOOKUP(Mapping[[#This Row],[Object Name]],PCB_PIN_TABLE,2, FALSE)</f>
        <v>#N/A</v>
      </c>
      <c r="J220" s="36" t="str">
        <f ca="1">_xlfn.CONCAT(Mapping[[#This Row],[Module]], " ", Mapping[[#This Row],[Object Name]])</f>
        <v>Unassigned -</v>
      </c>
      <c r="K220" s="36" t="str">
        <f t="shared" ca="1" si="37"/>
        <v>CSn008</v>
      </c>
      <c r="L220" s="36" t="str">
        <f t="shared" ca="1" si="38"/>
        <v>-</v>
      </c>
      <c r="M220" s="47"/>
    </row>
    <row r="221" spans="1:13" x14ac:dyDescent="0.2">
      <c r="A221" s="46" t="s">
        <v>500</v>
      </c>
      <c r="B221" s="55">
        <f t="shared" si="45"/>
        <v>9</v>
      </c>
      <c r="C221" s="36" t="str">
        <f t="shared" ca="1" si="39"/>
        <v>CTC_XOVR_LEFT</v>
      </c>
      <c r="D221" s="36" t="str">
        <f t="shared" ca="1" si="40"/>
        <v>Route Selected Report</v>
      </c>
      <c r="E221" s="36" t="str">
        <f t="shared" ca="1" si="41"/>
        <v>Close</v>
      </c>
      <c r="F221" s="36" t="str">
        <f t="shared" ca="1" si="42"/>
        <v>IN</v>
      </c>
      <c r="G221" s="36">
        <f t="shared" ca="1" si="43"/>
        <v>0</v>
      </c>
      <c r="H221" s="36" t="str">
        <f t="shared" ca="1" si="44"/>
        <v>CTC_XOVR_LEFT:TO_RSR</v>
      </c>
      <c r="I221" s="49" t="e">
        <f ca="1">VLOOKUP(Mapping[[#This Row],[Object Name]],PCB_PIN_TABLE,2, FALSE)</f>
        <v>#N/A</v>
      </c>
      <c r="J221" s="36" t="str">
        <f ca="1">_xlfn.CONCAT(Mapping[[#This Row],[Module]], " ", Mapping[[#This Row],[Object Name]])</f>
        <v>CTC_XOVR_LEFT CTC_XOVR_LEFT:TO_RSR</v>
      </c>
      <c r="K221" s="36" t="str">
        <f t="shared" ca="1" si="37"/>
        <v>CSn009</v>
      </c>
      <c r="L221" s="36" t="str">
        <f t="shared" ca="1" si="38"/>
        <v>-</v>
      </c>
      <c r="M221" s="47"/>
    </row>
    <row r="222" spans="1:13" x14ac:dyDescent="0.2">
      <c r="A222" s="46" t="s">
        <v>500</v>
      </c>
      <c r="B222" s="55">
        <f t="shared" si="45"/>
        <v>10</v>
      </c>
      <c r="C222" s="36" t="str">
        <f t="shared" ca="1" si="39"/>
        <v>CTC_XOVR_LEFT</v>
      </c>
      <c r="D222" s="36" t="str">
        <f t="shared" ca="1" si="40"/>
        <v>Route Unselected Report</v>
      </c>
      <c r="E222" s="36" t="str">
        <f t="shared" ca="1" si="41"/>
        <v>Close</v>
      </c>
      <c r="F222" s="36" t="str">
        <f t="shared" ca="1" si="42"/>
        <v>IN</v>
      </c>
      <c r="G222" s="36">
        <f t="shared" ca="1" si="43"/>
        <v>0</v>
      </c>
      <c r="H222" s="36" t="str">
        <f t="shared" ca="1" si="44"/>
        <v>CTC_XOVR_LEFT:TO_RUR</v>
      </c>
      <c r="I222" s="49" t="e">
        <f ca="1">VLOOKUP(Mapping[[#This Row],[Object Name]],PCB_PIN_TABLE,2, FALSE)</f>
        <v>#N/A</v>
      </c>
      <c r="J222" s="36" t="str">
        <f ca="1">_xlfn.CONCAT(Mapping[[#This Row],[Module]], " ", Mapping[[#This Row],[Object Name]])</f>
        <v>CTC_XOVR_LEFT CTC_XOVR_LEFT:TO_RUR</v>
      </c>
      <c r="K222" s="36" t="str">
        <f t="shared" ca="1" si="37"/>
        <v>CSn010</v>
      </c>
      <c r="L222" s="36" t="str">
        <f t="shared" ca="1" si="38"/>
        <v>-</v>
      </c>
      <c r="M222" s="47"/>
    </row>
    <row r="223" spans="1:13" x14ac:dyDescent="0.2">
      <c r="A223" s="46" t="s">
        <v>500</v>
      </c>
      <c r="B223" s="55">
        <f t="shared" si="45"/>
        <v>11</v>
      </c>
      <c r="C223" s="36" t="str">
        <f t="shared" ca="1" si="39"/>
        <v>Unassigned</v>
      </c>
      <c r="D223" s="36" t="str">
        <f t="shared" ca="1" si="40"/>
        <v>Unassigned</v>
      </c>
      <c r="E223" s="36">
        <f t="shared" ca="1" si="41"/>
        <v>0</v>
      </c>
      <c r="F223" s="36" t="str">
        <f t="shared" ca="1" si="42"/>
        <v>IN</v>
      </c>
      <c r="G223" s="36">
        <f t="shared" ca="1" si="43"/>
        <v>0</v>
      </c>
      <c r="H223" s="36" t="str">
        <f t="shared" ca="1" si="44"/>
        <v>-</v>
      </c>
      <c r="I223" s="49" t="e">
        <f ca="1">VLOOKUP(Mapping[[#This Row],[Object Name]],PCB_PIN_TABLE,2, FALSE)</f>
        <v>#N/A</v>
      </c>
      <c r="J223" s="36" t="str">
        <f ca="1">_xlfn.CONCAT(Mapping[[#This Row],[Module]], " ", Mapping[[#This Row],[Object Name]])</f>
        <v>Unassigned -</v>
      </c>
      <c r="K223" s="36" t="str">
        <f t="shared" ca="1" si="37"/>
        <v>CSn011</v>
      </c>
      <c r="L223" s="36" t="str">
        <f t="shared" ca="1" si="38"/>
        <v>-</v>
      </c>
      <c r="M223" s="47"/>
    </row>
    <row r="224" spans="1:13" x14ac:dyDescent="0.2">
      <c r="A224" s="46" t="s">
        <v>500</v>
      </c>
      <c r="B224" s="55">
        <f t="shared" si="45"/>
        <v>12</v>
      </c>
      <c r="C224" s="36" t="str">
        <f t="shared" ca="1" si="39"/>
        <v>Unassigned</v>
      </c>
      <c r="D224" s="36" t="str">
        <f t="shared" ca="1" si="40"/>
        <v>Unassigned</v>
      </c>
      <c r="E224" s="36">
        <f t="shared" ca="1" si="41"/>
        <v>0</v>
      </c>
      <c r="F224" s="36" t="str">
        <f t="shared" ca="1" si="42"/>
        <v>IN</v>
      </c>
      <c r="G224" s="36">
        <f t="shared" ca="1" si="43"/>
        <v>0</v>
      </c>
      <c r="H224" s="36" t="str">
        <f t="shared" ca="1" si="44"/>
        <v>-</v>
      </c>
      <c r="I224" s="49" t="e">
        <f ca="1">VLOOKUP(Mapping[[#This Row],[Object Name]],PCB_PIN_TABLE,2, FALSE)</f>
        <v>#N/A</v>
      </c>
      <c r="J224" s="36" t="str">
        <f ca="1">_xlfn.CONCAT(Mapping[[#This Row],[Module]], " ", Mapping[[#This Row],[Object Name]])</f>
        <v>Unassigned -</v>
      </c>
      <c r="K224" s="36" t="str">
        <f t="shared" ca="1" si="37"/>
        <v>CSn012</v>
      </c>
      <c r="L224" s="36" t="str">
        <f t="shared" ca="1" si="38"/>
        <v>-</v>
      </c>
      <c r="M224" s="47"/>
    </row>
    <row r="225" spans="1:13" x14ac:dyDescent="0.2">
      <c r="A225" s="46" t="s">
        <v>500</v>
      </c>
      <c r="B225" s="55">
        <f t="shared" si="45"/>
        <v>13</v>
      </c>
      <c r="C225" s="36" t="str">
        <f t="shared" ca="1" si="39"/>
        <v>Unassigned</v>
      </c>
      <c r="D225" s="36" t="str">
        <f t="shared" ca="1" si="40"/>
        <v>Unassigned</v>
      </c>
      <c r="E225" s="36">
        <f t="shared" ca="1" si="41"/>
        <v>0</v>
      </c>
      <c r="F225" s="36" t="str">
        <f t="shared" ca="1" si="42"/>
        <v>IN</v>
      </c>
      <c r="G225" s="36">
        <f t="shared" ca="1" si="43"/>
        <v>0</v>
      </c>
      <c r="H225" s="36" t="str">
        <f t="shared" ca="1" si="44"/>
        <v>-</v>
      </c>
      <c r="I225" s="49" t="e">
        <f ca="1">VLOOKUP(Mapping[[#This Row],[Object Name]],PCB_PIN_TABLE,2, FALSE)</f>
        <v>#N/A</v>
      </c>
      <c r="J225" s="36" t="str">
        <f ca="1">_xlfn.CONCAT(Mapping[[#This Row],[Module]], " ", Mapping[[#This Row],[Object Name]])</f>
        <v>Unassigned -</v>
      </c>
      <c r="K225" s="36" t="str">
        <f t="shared" ca="1" si="37"/>
        <v>CSn013</v>
      </c>
      <c r="L225" s="36" t="str">
        <f t="shared" ca="1" si="38"/>
        <v>-</v>
      </c>
      <c r="M225" s="47"/>
    </row>
    <row r="226" spans="1:13" x14ac:dyDescent="0.2">
      <c r="A226" s="46" t="s">
        <v>500</v>
      </c>
      <c r="B226" s="55">
        <f t="shared" si="45"/>
        <v>14</v>
      </c>
      <c r="C226" s="36" t="str">
        <f t="shared" ca="1" si="39"/>
        <v>Unassigned</v>
      </c>
      <c r="D226" s="36" t="str">
        <f t="shared" ca="1" si="40"/>
        <v>Unassigned</v>
      </c>
      <c r="E226" s="36">
        <f t="shared" ca="1" si="41"/>
        <v>0</v>
      </c>
      <c r="F226" s="36" t="str">
        <f t="shared" ca="1" si="42"/>
        <v>IN</v>
      </c>
      <c r="G226" s="36">
        <f t="shared" ca="1" si="43"/>
        <v>0</v>
      </c>
      <c r="H226" s="36" t="str">
        <f t="shared" ca="1" si="44"/>
        <v>-</v>
      </c>
      <c r="I226" s="49" t="e">
        <f ca="1">VLOOKUP(Mapping[[#This Row],[Object Name]],PCB_PIN_TABLE,2, FALSE)</f>
        <v>#N/A</v>
      </c>
      <c r="J226" s="36" t="str">
        <f ca="1">_xlfn.CONCAT(Mapping[[#This Row],[Module]], " ", Mapping[[#This Row],[Object Name]])</f>
        <v>Unassigned -</v>
      </c>
      <c r="K226" s="36" t="str">
        <f t="shared" ca="1" si="37"/>
        <v>CSn014</v>
      </c>
      <c r="L226" s="36" t="str">
        <f t="shared" ca="1" si="38"/>
        <v>-</v>
      </c>
      <c r="M226" s="47"/>
    </row>
    <row r="227" spans="1:13" x14ac:dyDescent="0.2">
      <c r="A227" s="46" t="s">
        <v>500</v>
      </c>
      <c r="B227" s="55">
        <f t="shared" si="45"/>
        <v>15</v>
      </c>
      <c r="C227" s="36" t="str">
        <f t="shared" ca="1" si="39"/>
        <v>Unassigned</v>
      </c>
      <c r="D227" s="36" t="str">
        <f t="shared" ca="1" si="40"/>
        <v>Unassigned</v>
      </c>
      <c r="E227" s="36">
        <f t="shared" ca="1" si="41"/>
        <v>0</v>
      </c>
      <c r="F227" s="36" t="str">
        <f t="shared" ca="1" si="42"/>
        <v>IN</v>
      </c>
      <c r="G227" s="36">
        <f t="shared" ca="1" si="43"/>
        <v>0</v>
      </c>
      <c r="H227" s="36" t="str">
        <f t="shared" ca="1" si="44"/>
        <v>-</v>
      </c>
      <c r="I227" s="49" t="e">
        <f ca="1">VLOOKUP(Mapping[[#This Row],[Object Name]],PCB_PIN_TABLE,2, FALSE)</f>
        <v>#N/A</v>
      </c>
      <c r="J227" s="36" t="str">
        <f ca="1">_xlfn.CONCAT(Mapping[[#This Row],[Module]], " ", Mapping[[#This Row],[Object Name]])</f>
        <v>Unassigned -</v>
      </c>
      <c r="K227" s="36" t="str">
        <f t="shared" ca="1" si="37"/>
        <v>CSn015</v>
      </c>
      <c r="L227" s="36" t="str">
        <f t="shared" ca="1" si="38"/>
        <v>-</v>
      </c>
      <c r="M227" s="47"/>
    </row>
    <row r="228" spans="1:13" x14ac:dyDescent="0.2">
      <c r="A228" s="46" t="s">
        <v>500</v>
      </c>
      <c r="B228" s="55">
        <f t="shared" si="45"/>
        <v>16</v>
      </c>
      <c r="C228" s="36" t="str">
        <f t="shared" ca="1" si="39"/>
        <v>Unassigned</v>
      </c>
      <c r="D228" s="36" t="str">
        <f t="shared" ca="1" si="40"/>
        <v>Unassigned</v>
      </c>
      <c r="E228" s="36">
        <f t="shared" ca="1" si="41"/>
        <v>0</v>
      </c>
      <c r="F228" s="36" t="str">
        <f t="shared" ca="1" si="42"/>
        <v>IN</v>
      </c>
      <c r="G228" s="36">
        <f t="shared" ca="1" si="43"/>
        <v>0</v>
      </c>
      <c r="H228" s="36" t="str">
        <f t="shared" ca="1" si="44"/>
        <v>-</v>
      </c>
      <c r="I228" s="49" t="e">
        <f ca="1">VLOOKUP(Mapping[[#This Row],[Object Name]],PCB_PIN_TABLE,2, FALSE)</f>
        <v>#N/A</v>
      </c>
      <c r="J228" s="36" t="str">
        <f ca="1">_xlfn.CONCAT(Mapping[[#This Row],[Module]], " ", Mapping[[#This Row],[Object Name]])</f>
        <v>Unassigned -</v>
      </c>
      <c r="K228" s="36" t="str">
        <f t="shared" ca="1" si="37"/>
        <v>CSn016</v>
      </c>
      <c r="L228" s="36" t="str">
        <f t="shared" ca="1" si="38"/>
        <v>-</v>
      </c>
      <c r="M228" s="47"/>
    </row>
    <row r="229" spans="1:13" x14ac:dyDescent="0.2">
      <c r="A229" s="46" t="s">
        <v>500</v>
      </c>
      <c r="B229" s="55">
        <f t="shared" si="45"/>
        <v>17</v>
      </c>
      <c r="C229" s="36" t="str">
        <f t="shared" ca="1" si="39"/>
        <v>Unassigned</v>
      </c>
      <c r="D229" s="36" t="str">
        <f t="shared" ca="1" si="40"/>
        <v>Unassigned</v>
      </c>
      <c r="E229" s="36">
        <f t="shared" ca="1" si="41"/>
        <v>0</v>
      </c>
      <c r="F229" s="36" t="str">
        <f t="shared" ca="1" si="42"/>
        <v>IN</v>
      </c>
      <c r="G229" s="36">
        <f t="shared" ca="1" si="43"/>
        <v>0</v>
      </c>
      <c r="H229" s="36" t="str">
        <f t="shared" ca="1" si="44"/>
        <v>-</v>
      </c>
      <c r="I229" s="49" t="e">
        <f ca="1">VLOOKUP(Mapping[[#This Row],[Object Name]],PCB_PIN_TABLE,2, FALSE)</f>
        <v>#N/A</v>
      </c>
      <c r="J229" s="36" t="str">
        <f ca="1">_xlfn.CONCAT(Mapping[[#This Row],[Module]], " ", Mapping[[#This Row],[Object Name]])</f>
        <v>Unassigned -</v>
      </c>
      <c r="K229" s="36" t="str">
        <f t="shared" ca="1" si="37"/>
        <v>CSn017</v>
      </c>
      <c r="L229" s="36" t="str">
        <f t="shared" ca="1" si="38"/>
        <v>-</v>
      </c>
      <c r="M229" s="47"/>
    </row>
    <row r="230" spans="1:13" x14ac:dyDescent="0.2">
      <c r="A230" s="46" t="s">
        <v>500</v>
      </c>
      <c r="B230" s="55">
        <f t="shared" si="45"/>
        <v>18</v>
      </c>
      <c r="C230" s="36" t="str">
        <f t="shared" ca="1" si="39"/>
        <v>Unassigned</v>
      </c>
      <c r="D230" s="36" t="str">
        <f t="shared" ca="1" si="40"/>
        <v>Unassigned</v>
      </c>
      <c r="E230" s="36">
        <f t="shared" ca="1" si="41"/>
        <v>0</v>
      </c>
      <c r="F230" s="36" t="str">
        <f t="shared" ca="1" si="42"/>
        <v>IN</v>
      </c>
      <c r="G230" s="36">
        <f t="shared" ca="1" si="43"/>
        <v>0</v>
      </c>
      <c r="H230" s="36" t="str">
        <f t="shared" ca="1" si="44"/>
        <v>-</v>
      </c>
      <c r="I230" s="49" t="e">
        <f ca="1">VLOOKUP(Mapping[[#This Row],[Object Name]],PCB_PIN_TABLE,2, FALSE)</f>
        <v>#N/A</v>
      </c>
      <c r="J230" s="36" t="str">
        <f ca="1">_xlfn.CONCAT(Mapping[[#This Row],[Module]], " ", Mapping[[#This Row],[Object Name]])</f>
        <v>Unassigned -</v>
      </c>
      <c r="K230" s="36" t="str">
        <f t="shared" ca="1" si="37"/>
        <v>CSn018</v>
      </c>
      <c r="L230" s="36" t="str">
        <f t="shared" ca="1" si="38"/>
        <v>-</v>
      </c>
      <c r="M230" s="47"/>
    </row>
    <row r="231" spans="1:13" x14ac:dyDescent="0.2">
      <c r="A231" s="46" t="s">
        <v>500</v>
      </c>
      <c r="B231" s="55">
        <f t="shared" si="45"/>
        <v>19</v>
      </c>
      <c r="C231" s="36" t="str">
        <f t="shared" ca="1" si="39"/>
        <v>Unassigned</v>
      </c>
      <c r="D231" s="36" t="str">
        <f t="shared" ca="1" si="40"/>
        <v>Unassigned</v>
      </c>
      <c r="E231" s="36">
        <f t="shared" ca="1" si="41"/>
        <v>0</v>
      </c>
      <c r="F231" s="36" t="str">
        <f t="shared" ca="1" si="42"/>
        <v>IN</v>
      </c>
      <c r="G231" s="36">
        <f t="shared" ca="1" si="43"/>
        <v>0</v>
      </c>
      <c r="H231" s="36" t="str">
        <f t="shared" ca="1" si="44"/>
        <v>-</v>
      </c>
      <c r="I231" s="49" t="e">
        <f ca="1">VLOOKUP(Mapping[[#This Row],[Object Name]],PCB_PIN_TABLE,2, FALSE)</f>
        <v>#N/A</v>
      </c>
      <c r="J231" s="36" t="str">
        <f ca="1">_xlfn.CONCAT(Mapping[[#This Row],[Module]], " ", Mapping[[#This Row],[Object Name]])</f>
        <v>Unassigned -</v>
      </c>
      <c r="K231" s="36" t="str">
        <f t="shared" ca="1" si="37"/>
        <v>CSn019</v>
      </c>
      <c r="L231" s="36" t="str">
        <f t="shared" ca="1" si="38"/>
        <v>-</v>
      </c>
      <c r="M231" s="47"/>
    </row>
    <row r="232" spans="1:13" x14ac:dyDescent="0.2">
      <c r="A232" s="46" t="s">
        <v>500</v>
      </c>
      <c r="B232" s="55">
        <f t="shared" si="45"/>
        <v>20</v>
      </c>
      <c r="C232" s="36" t="str">
        <f t="shared" ca="1" si="39"/>
        <v>Unassigned</v>
      </c>
      <c r="D232" s="36" t="str">
        <f t="shared" ca="1" si="40"/>
        <v>Unassigned</v>
      </c>
      <c r="E232" s="36">
        <f t="shared" ca="1" si="41"/>
        <v>0</v>
      </c>
      <c r="F232" s="36" t="str">
        <f t="shared" ca="1" si="42"/>
        <v>IN</v>
      </c>
      <c r="G232" s="36">
        <f t="shared" ca="1" si="43"/>
        <v>0</v>
      </c>
      <c r="H232" s="36" t="str">
        <f t="shared" ca="1" si="44"/>
        <v>-</v>
      </c>
      <c r="I232" s="49" t="e">
        <f ca="1">VLOOKUP(Mapping[[#This Row],[Object Name]],PCB_PIN_TABLE,2, FALSE)</f>
        <v>#N/A</v>
      </c>
      <c r="J232" s="36" t="str">
        <f ca="1">_xlfn.CONCAT(Mapping[[#This Row],[Module]], " ", Mapping[[#This Row],[Object Name]])</f>
        <v>Unassigned -</v>
      </c>
      <c r="K232" s="36" t="str">
        <f t="shared" ca="1" si="37"/>
        <v>CSn020</v>
      </c>
      <c r="L232" s="36" t="str">
        <f t="shared" ca="1" si="38"/>
        <v>-</v>
      </c>
      <c r="M232" s="47"/>
    </row>
    <row r="233" spans="1:13" x14ac:dyDescent="0.2">
      <c r="A233" s="46" t="s">
        <v>500</v>
      </c>
      <c r="B233" s="55">
        <f t="shared" si="45"/>
        <v>21</v>
      </c>
      <c r="C233" s="36" t="str">
        <f t="shared" ca="1" si="39"/>
        <v>Unassigned</v>
      </c>
      <c r="D233" s="36" t="str">
        <f t="shared" ca="1" si="40"/>
        <v>Unassigned</v>
      </c>
      <c r="E233" s="36">
        <f t="shared" ca="1" si="41"/>
        <v>0</v>
      </c>
      <c r="F233" s="36" t="str">
        <f t="shared" ca="1" si="42"/>
        <v>IN</v>
      </c>
      <c r="G233" s="36">
        <f t="shared" ca="1" si="43"/>
        <v>0</v>
      </c>
      <c r="H233" s="36" t="str">
        <f t="shared" ca="1" si="44"/>
        <v>-</v>
      </c>
      <c r="I233" s="49" t="e">
        <f ca="1">VLOOKUP(Mapping[[#This Row],[Object Name]],PCB_PIN_TABLE,2, FALSE)</f>
        <v>#N/A</v>
      </c>
      <c r="J233" s="36" t="str">
        <f ca="1">_xlfn.CONCAT(Mapping[[#This Row],[Module]], " ", Mapping[[#This Row],[Object Name]])</f>
        <v>Unassigned -</v>
      </c>
      <c r="K233" s="36" t="str">
        <f t="shared" ca="1" si="37"/>
        <v>CSn021</v>
      </c>
      <c r="L233" s="36" t="str">
        <f t="shared" ca="1" si="38"/>
        <v>-</v>
      </c>
      <c r="M233" s="47"/>
    </row>
    <row r="234" spans="1:13" x14ac:dyDescent="0.2">
      <c r="A234" s="46" t="s">
        <v>500</v>
      </c>
      <c r="B234" s="55">
        <f t="shared" si="45"/>
        <v>22</v>
      </c>
      <c r="C234" s="36" t="str">
        <f t="shared" ca="1" si="39"/>
        <v>Unassigned</v>
      </c>
      <c r="D234" s="36" t="str">
        <f t="shared" ca="1" si="40"/>
        <v>Unassigned</v>
      </c>
      <c r="E234" s="36">
        <f t="shared" ca="1" si="41"/>
        <v>0</v>
      </c>
      <c r="F234" s="36" t="str">
        <f t="shared" ca="1" si="42"/>
        <v>IN</v>
      </c>
      <c r="G234" s="36">
        <f t="shared" ca="1" si="43"/>
        <v>0</v>
      </c>
      <c r="H234" s="36" t="str">
        <f t="shared" ca="1" si="44"/>
        <v>-</v>
      </c>
      <c r="I234" s="49" t="e">
        <f ca="1">VLOOKUP(Mapping[[#This Row],[Object Name]],PCB_PIN_TABLE,2, FALSE)</f>
        <v>#N/A</v>
      </c>
      <c r="J234" s="36" t="str">
        <f ca="1">_xlfn.CONCAT(Mapping[[#This Row],[Module]], " ", Mapping[[#This Row],[Object Name]])</f>
        <v>Unassigned -</v>
      </c>
      <c r="K234" s="36" t="str">
        <f t="shared" ca="1" si="37"/>
        <v>CSn022</v>
      </c>
      <c r="L234" s="36" t="str">
        <f t="shared" ca="1" si="38"/>
        <v>-</v>
      </c>
      <c r="M234" s="47"/>
    </row>
    <row r="235" spans="1:13" x14ac:dyDescent="0.2">
      <c r="A235" s="46" t="s">
        <v>500</v>
      </c>
      <c r="B235" s="55">
        <f t="shared" si="45"/>
        <v>23</v>
      </c>
      <c r="C235" s="36" t="str">
        <f t="shared" ca="1" si="39"/>
        <v>Unassigned</v>
      </c>
      <c r="D235" s="36" t="str">
        <f t="shared" ca="1" si="40"/>
        <v>Unassigned</v>
      </c>
      <c r="E235" s="36">
        <f t="shared" ca="1" si="41"/>
        <v>0</v>
      </c>
      <c r="F235" s="36" t="str">
        <f t="shared" ca="1" si="42"/>
        <v>IN</v>
      </c>
      <c r="G235" s="36">
        <f t="shared" ca="1" si="43"/>
        <v>0</v>
      </c>
      <c r="H235" s="36" t="str">
        <f t="shared" ca="1" si="44"/>
        <v>-</v>
      </c>
      <c r="I235" s="49" t="e">
        <f ca="1">VLOOKUP(Mapping[[#This Row],[Object Name]],PCB_PIN_TABLE,2, FALSE)</f>
        <v>#N/A</v>
      </c>
      <c r="J235" s="36" t="str">
        <f ca="1">_xlfn.CONCAT(Mapping[[#This Row],[Module]], " ", Mapping[[#This Row],[Object Name]])</f>
        <v>Unassigned -</v>
      </c>
      <c r="K235" s="36" t="str">
        <f t="shared" ca="1" si="37"/>
        <v>CSn023</v>
      </c>
      <c r="L235" s="36" t="str">
        <f t="shared" ca="1" si="38"/>
        <v>-</v>
      </c>
      <c r="M235" s="47"/>
    </row>
    <row r="236" spans="1:13" x14ac:dyDescent="0.2">
      <c r="A236" s="46" t="s">
        <v>500</v>
      </c>
      <c r="B236" s="55">
        <f t="shared" si="45"/>
        <v>24</v>
      </c>
      <c r="C236" s="36" t="str">
        <f t="shared" ca="1" si="39"/>
        <v>Unassigned</v>
      </c>
      <c r="D236" s="36" t="str">
        <f t="shared" ca="1" si="40"/>
        <v>Unassigned</v>
      </c>
      <c r="E236" s="36">
        <f t="shared" ca="1" si="41"/>
        <v>0</v>
      </c>
      <c r="F236" s="36" t="str">
        <f t="shared" ca="1" si="42"/>
        <v>IN</v>
      </c>
      <c r="G236" s="36">
        <f t="shared" ca="1" si="43"/>
        <v>0</v>
      </c>
      <c r="H236" s="36" t="str">
        <f t="shared" ca="1" si="44"/>
        <v>-</v>
      </c>
      <c r="I236" s="49" t="e">
        <f ca="1">VLOOKUP(Mapping[[#This Row],[Object Name]],PCB_PIN_TABLE,2, FALSE)</f>
        <v>#N/A</v>
      </c>
      <c r="J236" s="36" t="str">
        <f ca="1">_xlfn.CONCAT(Mapping[[#This Row],[Module]], " ", Mapping[[#This Row],[Object Name]])</f>
        <v>Unassigned -</v>
      </c>
      <c r="K236" s="36" t="str">
        <f t="shared" ca="1" si="37"/>
        <v>CSn024</v>
      </c>
      <c r="L236" s="36" t="str">
        <f t="shared" ca="1" si="38"/>
        <v>-</v>
      </c>
      <c r="M236" s="47"/>
    </row>
    <row r="237" spans="1:13" x14ac:dyDescent="0.2">
      <c r="A237" s="46" t="s">
        <v>500</v>
      </c>
      <c r="B237" s="55">
        <f t="shared" si="45"/>
        <v>25</v>
      </c>
      <c r="C237" s="36" t="str">
        <f t="shared" ca="1" si="39"/>
        <v>CTC_XOVR_LEFT</v>
      </c>
      <c r="D237" s="36" t="str">
        <f t="shared" ca="1" si="40"/>
        <v>Signal Head</v>
      </c>
      <c r="E237" s="36" t="str">
        <f t="shared" ca="1" si="41"/>
        <v>Throw</v>
      </c>
      <c r="F237" s="36" t="str">
        <f t="shared" ca="1" si="42"/>
        <v>OUT</v>
      </c>
      <c r="G237" s="36">
        <f t="shared" ca="1" si="43"/>
        <v>0</v>
      </c>
      <c r="H237" s="36" t="str">
        <f t="shared" ca="1" si="44"/>
        <v>CTC_XOVR_LEFT:OME:DBL:HEAD0:RED</v>
      </c>
      <c r="I237" s="49" t="e">
        <f ca="1">VLOOKUP(Mapping[[#This Row],[Object Name]],PCB_PIN_TABLE,2, FALSE)</f>
        <v>#N/A</v>
      </c>
      <c r="J237" s="36" t="str">
        <f ca="1">_xlfn.CONCAT(Mapping[[#This Row],[Module]], " ", Mapping[[#This Row],[Object Name]])</f>
        <v>CTC_XOVR_LEFT CTC_XOVR_LEFT:OME:DBL:HEAD0:RED</v>
      </c>
      <c r="K237" s="36" t="str">
        <f t="shared" ca="1" si="37"/>
        <v>CTn001</v>
      </c>
      <c r="L237" s="36" t="str">
        <f t="shared" ca="1" si="38"/>
        <v>-</v>
      </c>
      <c r="M237" s="47"/>
    </row>
    <row r="238" spans="1:13" x14ac:dyDescent="0.2">
      <c r="A238" s="46" t="s">
        <v>500</v>
      </c>
      <c r="B238" s="55">
        <f t="shared" si="45"/>
        <v>26</v>
      </c>
      <c r="C238" s="36" t="str">
        <f t="shared" ca="1" si="39"/>
        <v>CTC_XOVR_LEFT</v>
      </c>
      <c r="D238" s="36" t="str">
        <f t="shared" ca="1" si="40"/>
        <v>Signal Head</v>
      </c>
      <c r="E238" s="36" t="str">
        <f t="shared" ca="1" si="41"/>
        <v>Throw</v>
      </c>
      <c r="F238" s="36" t="str">
        <f t="shared" ca="1" si="42"/>
        <v>OUT</v>
      </c>
      <c r="G238" s="36">
        <f t="shared" ca="1" si="43"/>
        <v>0</v>
      </c>
      <c r="H238" s="36" t="str">
        <f t="shared" ca="1" si="44"/>
        <v>CTC_XOVR_LEFT:OME:DBL:HEAD0:YEL</v>
      </c>
      <c r="I238" s="49" t="e">
        <f ca="1">VLOOKUP(Mapping[[#This Row],[Object Name]],PCB_PIN_TABLE,2, FALSE)</f>
        <v>#N/A</v>
      </c>
      <c r="J238" s="36" t="str">
        <f ca="1">_xlfn.CONCAT(Mapping[[#This Row],[Module]], " ", Mapping[[#This Row],[Object Name]])</f>
        <v>CTC_XOVR_LEFT CTC_XOVR_LEFT:OME:DBL:HEAD0:YEL</v>
      </c>
      <c r="K238" s="36" t="str">
        <f t="shared" ca="1" si="37"/>
        <v>CTn002</v>
      </c>
      <c r="L238" s="36" t="str">
        <f t="shared" ca="1" si="38"/>
        <v>-</v>
      </c>
      <c r="M238" s="47"/>
    </row>
    <row r="239" spans="1:13" x14ac:dyDescent="0.2">
      <c r="A239" s="46" t="s">
        <v>500</v>
      </c>
      <c r="B239" s="55">
        <f t="shared" si="45"/>
        <v>27</v>
      </c>
      <c r="C239" s="36" t="str">
        <f t="shared" ca="1" si="39"/>
        <v>CTC_XOVR_LEFT</v>
      </c>
      <c r="D239" s="36" t="str">
        <f t="shared" ca="1" si="40"/>
        <v>Signal Head</v>
      </c>
      <c r="E239" s="36" t="str">
        <f t="shared" ca="1" si="41"/>
        <v>Throw</v>
      </c>
      <c r="F239" s="36" t="str">
        <f t="shared" ca="1" si="42"/>
        <v>OUT</v>
      </c>
      <c r="G239" s="36">
        <f t="shared" ca="1" si="43"/>
        <v>0</v>
      </c>
      <c r="H239" s="36" t="str">
        <f t="shared" ca="1" si="44"/>
        <v>CTC_XOVR_LEFT:OME:DBL:HEAD0:GRN</v>
      </c>
      <c r="I239" s="49" t="e">
        <f ca="1">VLOOKUP(Mapping[[#This Row],[Object Name]],PCB_PIN_TABLE,2, FALSE)</f>
        <v>#N/A</v>
      </c>
      <c r="J239" s="36" t="str">
        <f ca="1">_xlfn.CONCAT(Mapping[[#This Row],[Module]], " ", Mapping[[#This Row],[Object Name]])</f>
        <v>CTC_XOVR_LEFT CTC_XOVR_LEFT:OME:DBL:HEAD0:GRN</v>
      </c>
      <c r="K239" s="36" t="str">
        <f t="shared" ca="1" si="37"/>
        <v>CTn003</v>
      </c>
      <c r="L239" s="36" t="str">
        <f t="shared" ca="1" si="38"/>
        <v>-</v>
      </c>
      <c r="M239" s="47"/>
    </row>
    <row r="240" spans="1:13" x14ac:dyDescent="0.2">
      <c r="A240" s="46" t="s">
        <v>500</v>
      </c>
      <c r="B240" s="55">
        <f t="shared" si="45"/>
        <v>28</v>
      </c>
      <c r="C240" s="36" t="str">
        <f t="shared" ca="1" si="39"/>
        <v>CTC_XOVR_LEFT</v>
      </c>
      <c r="D240" s="36" t="str">
        <f t="shared" ca="1" si="40"/>
        <v>Signal Head</v>
      </c>
      <c r="E240" s="36" t="str">
        <f t="shared" ca="1" si="41"/>
        <v>Throw</v>
      </c>
      <c r="F240" s="36" t="str">
        <f t="shared" ca="1" si="42"/>
        <v>OUT</v>
      </c>
      <c r="G240" s="36">
        <f t="shared" ca="1" si="43"/>
        <v>0</v>
      </c>
      <c r="H240" s="36" t="str">
        <f t="shared" ca="1" si="44"/>
        <v>CTC_XOVR_LEFT:OME:DBL:HEAD1:RED</v>
      </c>
      <c r="I240" s="49" t="e">
        <f ca="1">VLOOKUP(Mapping[[#This Row],[Object Name]],PCB_PIN_TABLE,2, FALSE)</f>
        <v>#N/A</v>
      </c>
      <c r="J240" s="36" t="str">
        <f ca="1">_xlfn.CONCAT(Mapping[[#This Row],[Module]], " ", Mapping[[#This Row],[Object Name]])</f>
        <v>CTC_XOVR_LEFT CTC_XOVR_LEFT:OME:DBL:HEAD1:RED</v>
      </c>
      <c r="K240" s="36" t="str">
        <f t="shared" ca="1" si="37"/>
        <v>CTn004</v>
      </c>
      <c r="L240" s="36" t="str">
        <f t="shared" ca="1" si="38"/>
        <v>-</v>
      </c>
      <c r="M240" s="47"/>
    </row>
    <row r="241" spans="1:13" x14ac:dyDescent="0.2">
      <c r="A241" s="46" t="s">
        <v>500</v>
      </c>
      <c r="B241" s="55">
        <f t="shared" si="45"/>
        <v>29</v>
      </c>
      <c r="C241" s="36" t="str">
        <f t="shared" ca="1" si="39"/>
        <v>CTC_XOVR_LEFT</v>
      </c>
      <c r="D241" s="36" t="str">
        <f t="shared" ca="1" si="40"/>
        <v>Signal Head</v>
      </c>
      <c r="E241" s="36" t="str">
        <f t="shared" ca="1" si="41"/>
        <v>Throw</v>
      </c>
      <c r="F241" s="36" t="str">
        <f t="shared" ca="1" si="42"/>
        <v>OUT</v>
      </c>
      <c r="G241" s="36">
        <f t="shared" ca="1" si="43"/>
        <v>0</v>
      </c>
      <c r="H241" s="36" t="str">
        <f t="shared" ca="1" si="44"/>
        <v>CTC_XOVR_LEFT:OME:DBL:HEAD1:YEL</v>
      </c>
      <c r="I241" s="49" t="e">
        <f ca="1">VLOOKUP(Mapping[[#This Row],[Object Name]],PCB_PIN_TABLE,2, FALSE)</f>
        <v>#N/A</v>
      </c>
      <c r="J241" s="36" t="str">
        <f ca="1">_xlfn.CONCAT(Mapping[[#This Row],[Module]], " ", Mapping[[#This Row],[Object Name]])</f>
        <v>CTC_XOVR_LEFT CTC_XOVR_LEFT:OME:DBL:HEAD1:YEL</v>
      </c>
      <c r="K241" s="36" t="str">
        <f t="shared" ca="1" si="37"/>
        <v>CTn005</v>
      </c>
      <c r="L241" s="36" t="str">
        <f t="shared" ca="1" si="38"/>
        <v>-</v>
      </c>
      <c r="M241" s="47"/>
    </row>
    <row r="242" spans="1:13" x14ac:dyDescent="0.2">
      <c r="A242" s="46" t="s">
        <v>500</v>
      </c>
      <c r="B242" s="55">
        <f t="shared" si="45"/>
        <v>30</v>
      </c>
      <c r="C242" s="36" t="str">
        <f t="shared" ca="1" si="39"/>
        <v>CTC_XOVR_LEFT</v>
      </c>
      <c r="D242" s="36" t="str">
        <f t="shared" ca="1" si="40"/>
        <v>Signal Head</v>
      </c>
      <c r="E242" s="36" t="str">
        <f t="shared" ca="1" si="41"/>
        <v>Throw</v>
      </c>
      <c r="F242" s="36" t="str">
        <f t="shared" ca="1" si="42"/>
        <v>OUT</v>
      </c>
      <c r="G242" s="36">
        <f t="shared" ca="1" si="43"/>
        <v>0</v>
      </c>
      <c r="H242" s="36" t="str">
        <f t="shared" ca="1" si="44"/>
        <v>CTC_XOVR_LEFT:OME:DBL:HEAD1:GRN</v>
      </c>
      <c r="I242" s="49" t="e">
        <f ca="1">VLOOKUP(Mapping[[#This Row],[Object Name]],PCB_PIN_TABLE,2, FALSE)</f>
        <v>#N/A</v>
      </c>
      <c r="J242" s="36" t="str">
        <f ca="1">_xlfn.CONCAT(Mapping[[#This Row],[Module]], " ", Mapping[[#This Row],[Object Name]])</f>
        <v>CTC_XOVR_LEFT CTC_XOVR_LEFT:OME:DBL:HEAD1:GRN</v>
      </c>
      <c r="K242" s="36" t="str">
        <f t="shared" ca="1" si="37"/>
        <v>CTn006</v>
      </c>
      <c r="L242" s="36" t="str">
        <f t="shared" ca="1" si="38"/>
        <v>-</v>
      </c>
      <c r="M242" s="47"/>
    </row>
    <row r="243" spans="1:13" x14ac:dyDescent="0.2">
      <c r="A243" s="46" t="s">
        <v>500</v>
      </c>
      <c r="B243" s="55">
        <f t="shared" si="45"/>
        <v>31</v>
      </c>
      <c r="C243" s="36" t="str">
        <f t="shared" ca="1" si="39"/>
        <v>CTC_XOVR_LEFT</v>
      </c>
      <c r="D243" s="36" t="str">
        <f t="shared" ca="1" si="40"/>
        <v>Select Route Command</v>
      </c>
      <c r="E243" s="36" t="str">
        <f t="shared" ca="1" si="41"/>
        <v>Close</v>
      </c>
      <c r="F243" s="36" t="str">
        <f t="shared" ca="1" si="42"/>
        <v>OUT</v>
      </c>
      <c r="G243" s="36">
        <f t="shared" ca="1" si="43"/>
        <v>0</v>
      </c>
      <c r="H243" s="36" t="str">
        <f t="shared" ca="1" si="44"/>
        <v>CTC_XOVR_LEFT:TO_SRC</v>
      </c>
      <c r="I243" s="49" t="e">
        <f ca="1">VLOOKUP(Mapping[[#This Row],[Object Name]],PCB_PIN_TABLE,2, FALSE)</f>
        <v>#N/A</v>
      </c>
      <c r="J243" s="36" t="str">
        <f ca="1">_xlfn.CONCAT(Mapping[[#This Row],[Module]], " ", Mapping[[#This Row],[Object Name]])</f>
        <v>CTC_XOVR_LEFT CTC_XOVR_LEFT:TO_SRC</v>
      </c>
      <c r="K243" s="36" t="str">
        <f t="shared" ca="1" si="37"/>
        <v>CTn007</v>
      </c>
      <c r="L243" s="36" t="str">
        <f t="shared" ca="1" si="38"/>
        <v>-</v>
      </c>
      <c r="M243" s="47"/>
    </row>
    <row r="244" spans="1:13" x14ac:dyDescent="0.2">
      <c r="A244" s="46" t="s">
        <v>500</v>
      </c>
      <c r="B244" s="55">
        <f t="shared" si="45"/>
        <v>32</v>
      </c>
      <c r="C244" s="36" t="str">
        <f t="shared" ca="1" si="39"/>
        <v>CTC_XOVR_LEFT</v>
      </c>
      <c r="D244" s="36" t="str">
        <f t="shared" ca="1" si="40"/>
        <v>Turnout Unlocked Light On</v>
      </c>
      <c r="E244" s="36" t="str">
        <f t="shared" ca="1" si="41"/>
        <v>Close</v>
      </c>
      <c r="F244" s="36" t="str">
        <f t="shared" ca="1" si="42"/>
        <v>OUT</v>
      </c>
      <c r="G244" s="36">
        <f t="shared" ca="1" si="43"/>
        <v>0</v>
      </c>
      <c r="H244" s="36" t="str">
        <f t="shared" ca="1" si="44"/>
        <v>CTC_XOVR_LEFT:TO_TULO</v>
      </c>
      <c r="I244" s="49" t="e">
        <f ca="1">VLOOKUP(Mapping[[#This Row],[Object Name]],PCB_PIN_TABLE,2, FALSE)</f>
        <v>#N/A</v>
      </c>
      <c r="J244" s="36" t="str">
        <f ca="1">_xlfn.CONCAT(Mapping[[#This Row],[Module]], " ", Mapping[[#This Row],[Object Name]])</f>
        <v>CTC_XOVR_LEFT CTC_XOVR_LEFT:TO_TULO</v>
      </c>
      <c r="K244" s="36" t="str">
        <f t="shared" ca="1" si="37"/>
        <v>CTn008</v>
      </c>
      <c r="L244" s="36" t="str">
        <f t="shared" ca="1" si="38"/>
        <v>-</v>
      </c>
      <c r="M244" s="47"/>
    </row>
    <row r="245" spans="1:13" x14ac:dyDescent="0.2">
      <c r="A245" s="46" t="s">
        <v>500</v>
      </c>
      <c r="B245" s="55">
        <f t="shared" si="45"/>
        <v>33</v>
      </c>
      <c r="C245" s="36" t="str">
        <f t="shared" ca="1" si="39"/>
        <v>CTC_XOVR_LEFT</v>
      </c>
      <c r="D245" s="36" t="str">
        <f t="shared" ca="1" si="40"/>
        <v>Signal Head</v>
      </c>
      <c r="E245" s="36" t="str">
        <f t="shared" ca="1" si="41"/>
        <v>Throw</v>
      </c>
      <c r="F245" s="36" t="str">
        <f t="shared" ca="1" si="42"/>
        <v>OUT</v>
      </c>
      <c r="G245" s="36">
        <f t="shared" ca="1" si="43"/>
        <v>0</v>
      </c>
      <c r="H245" s="36" t="str">
        <f t="shared" ca="1" si="44"/>
        <v>CTC_XOVR_LEFT:OMW:DBL:HEAD0:RED</v>
      </c>
      <c r="I245" s="49" t="e">
        <f ca="1">VLOOKUP(Mapping[[#This Row],[Object Name]],PCB_PIN_TABLE,2, FALSE)</f>
        <v>#N/A</v>
      </c>
      <c r="J245" s="36" t="str">
        <f ca="1">_xlfn.CONCAT(Mapping[[#This Row],[Module]], " ", Mapping[[#This Row],[Object Name]])</f>
        <v>CTC_XOVR_LEFT CTC_XOVR_LEFT:OMW:DBL:HEAD0:RED</v>
      </c>
      <c r="K245" s="36" t="str">
        <f t="shared" ca="1" si="37"/>
        <v>CTn009</v>
      </c>
      <c r="L245" s="36" t="str">
        <f t="shared" ca="1" si="38"/>
        <v>-</v>
      </c>
      <c r="M245" s="47"/>
    </row>
    <row r="246" spans="1:13" x14ac:dyDescent="0.2">
      <c r="A246" s="46" t="s">
        <v>500</v>
      </c>
      <c r="B246" s="55">
        <f t="shared" si="45"/>
        <v>34</v>
      </c>
      <c r="C246" s="36" t="str">
        <f t="shared" ca="1" si="39"/>
        <v>CTC_XOVR_LEFT</v>
      </c>
      <c r="D246" s="36" t="str">
        <f t="shared" ca="1" si="40"/>
        <v>Signal Head</v>
      </c>
      <c r="E246" s="36" t="str">
        <f t="shared" ca="1" si="41"/>
        <v>Throw</v>
      </c>
      <c r="F246" s="36" t="str">
        <f t="shared" ca="1" si="42"/>
        <v>OUT</v>
      </c>
      <c r="G246" s="36">
        <f t="shared" ca="1" si="43"/>
        <v>0</v>
      </c>
      <c r="H246" s="36" t="str">
        <f t="shared" ca="1" si="44"/>
        <v>CTC_XOVR_LEFT:OMW:DBL:HEAD0:YEL</v>
      </c>
      <c r="I246" s="49" t="e">
        <f ca="1">VLOOKUP(Mapping[[#This Row],[Object Name]],PCB_PIN_TABLE,2, FALSE)</f>
        <v>#N/A</v>
      </c>
      <c r="J246" s="36" t="str">
        <f ca="1">_xlfn.CONCAT(Mapping[[#This Row],[Module]], " ", Mapping[[#This Row],[Object Name]])</f>
        <v>CTC_XOVR_LEFT CTC_XOVR_LEFT:OMW:DBL:HEAD0:YEL</v>
      </c>
      <c r="K246" s="36" t="str">
        <f t="shared" ca="1" si="37"/>
        <v>CTn010</v>
      </c>
      <c r="L246" s="36" t="str">
        <f t="shared" ca="1" si="38"/>
        <v>-</v>
      </c>
      <c r="M246" s="47"/>
    </row>
    <row r="247" spans="1:13" x14ac:dyDescent="0.2">
      <c r="A247" s="46" t="s">
        <v>500</v>
      </c>
      <c r="B247" s="55">
        <f t="shared" si="45"/>
        <v>35</v>
      </c>
      <c r="C247" s="36" t="str">
        <f t="shared" ca="1" si="39"/>
        <v>CTC_XOVR_LEFT</v>
      </c>
      <c r="D247" s="36" t="str">
        <f t="shared" ca="1" si="40"/>
        <v>Signal Head</v>
      </c>
      <c r="E247" s="36" t="str">
        <f t="shared" ca="1" si="41"/>
        <v>Throw</v>
      </c>
      <c r="F247" s="36" t="str">
        <f t="shared" ca="1" si="42"/>
        <v>OUT</v>
      </c>
      <c r="G247" s="36">
        <f t="shared" ca="1" si="43"/>
        <v>0</v>
      </c>
      <c r="H247" s="36" t="str">
        <f t="shared" ca="1" si="44"/>
        <v>CTC_XOVR_LEFT:OMW:DBL:HEAD0:GRN</v>
      </c>
      <c r="I247" s="49" t="e">
        <f ca="1">VLOOKUP(Mapping[[#This Row],[Object Name]],PCB_PIN_TABLE,2, FALSE)</f>
        <v>#N/A</v>
      </c>
      <c r="J247" s="36" t="str">
        <f ca="1">_xlfn.CONCAT(Mapping[[#This Row],[Module]], " ", Mapping[[#This Row],[Object Name]])</f>
        <v>CTC_XOVR_LEFT CTC_XOVR_LEFT:OMW:DBL:HEAD0:GRN</v>
      </c>
      <c r="K247" s="36" t="str">
        <f t="shared" ca="1" si="37"/>
        <v>CTn011</v>
      </c>
      <c r="L247" s="36" t="str">
        <f t="shared" ca="1" si="38"/>
        <v>-</v>
      </c>
      <c r="M247" s="47"/>
    </row>
    <row r="248" spans="1:13" x14ac:dyDescent="0.2">
      <c r="A248" s="46" t="s">
        <v>500</v>
      </c>
      <c r="B248" s="55">
        <f t="shared" si="45"/>
        <v>36</v>
      </c>
      <c r="C248" s="36" t="str">
        <f t="shared" ca="1" si="39"/>
        <v>CTC_XOVR_LEFT</v>
      </c>
      <c r="D248" s="36" t="str">
        <f t="shared" ca="1" si="40"/>
        <v>Signal Head</v>
      </c>
      <c r="E248" s="36" t="str">
        <f t="shared" ca="1" si="41"/>
        <v>Throw</v>
      </c>
      <c r="F248" s="36" t="str">
        <f t="shared" ca="1" si="42"/>
        <v>OUT</v>
      </c>
      <c r="G248" s="36">
        <f t="shared" ca="1" si="43"/>
        <v>0</v>
      </c>
      <c r="H248" s="36" t="str">
        <f t="shared" ca="1" si="44"/>
        <v>CTC_XOVR_LEFT:OMW:DBL:HEAD1:RED</v>
      </c>
      <c r="I248" s="49" t="e">
        <f ca="1">VLOOKUP(Mapping[[#This Row],[Object Name]],PCB_PIN_TABLE,2, FALSE)</f>
        <v>#N/A</v>
      </c>
      <c r="J248" s="36" t="str">
        <f ca="1">_xlfn.CONCAT(Mapping[[#This Row],[Module]], " ", Mapping[[#This Row],[Object Name]])</f>
        <v>CTC_XOVR_LEFT CTC_XOVR_LEFT:OMW:DBL:HEAD1:RED</v>
      </c>
      <c r="K248" s="36" t="str">
        <f t="shared" ca="1" si="37"/>
        <v>CTn012</v>
      </c>
      <c r="L248" s="36" t="str">
        <f t="shared" ca="1" si="38"/>
        <v>-</v>
      </c>
      <c r="M248" s="47"/>
    </row>
    <row r="249" spans="1:13" x14ac:dyDescent="0.2">
      <c r="A249" s="46" t="s">
        <v>500</v>
      </c>
      <c r="B249" s="55">
        <f t="shared" si="45"/>
        <v>37</v>
      </c>
      <c r="C249" s="36" t="str">
        <f t="shared" ca="1" si="39"/>
        <v>CTC_XOVR_LEFT</v>
      </c>
      <c r="D249" s="36" t="str">
        <f t="shared" ca="1" si="40"/>
        <v>Signal Head</v>
      </c>
      <c r="E249" s="36" t="str">
        <f t="shared" ca="1" si="41"/>
        <v>Throw</v>
      </c>
      <c r="F249" s="36" t="str">
        <f t="shared" ca="1" si="42"/>
        <v>OUT</v>
      </c>
      <c r="G249" s="36">
        <f t="shared" ca="1" si="43"/>
        <v>0</v>
      </c>
      <c r="H249" s="36" t="str">
        <f t="shared" ca="1" si="44"/>
        <v>CTC_XOVR_LEFT:OMW:DBL:HEAD1:YEL</v>
      </c>
      <c r="I249" s="49" t="e">
        <f ca="1">VLOOKUP(Mapping[[#This Row],[Object Name]],PCB_PIN_TABLE,2, FALSE)</f>
        <v>#N/A</v>
      </c>
      <c r="J249" s="36" t="str">
        <f ca="1">_xlfn.CONCAT(Mapping[[#This Row],[Module]], " ", Mapping[[#This Row],[Object Name]])</f>
        <v>CTC_XOVR_LEFT CTC_XOVR_LEFT:OMW:DBL:HEAD1:YEL</v>
      </c>
      <c r="K249" s="36" t="str">
        <f t="shared" ca="1" si="37"/>
        <v>CTn013</v>
      </c>
      <c r="L249" s="36" t="str">
        <f t="shared" ca="1" si="38"/>
        <v>-</v>
      </c>
      <c r="M249" s="47"/>
    </row>
    <row r="250" spans="1:13" x14ac:dyDescent="0.2">
      <c r="A250" s="46" t="s">
        <v>500</v>
      </c>
      <c r="B250" s="55">
        <f t="shared" si="45"/>
        <v>38</v>
      </c>
      <c r="C250" s="36" t="str">
        <f t="shared" ca="1" si="39"/>
        <v>CTC_XOVR_LEFT</v>
      </c>
      <c r="D250" s="36" t="str">
        <f t="shared" ca="1" si="40"/>
        <v>Signal Head</v>
      </c>
      <c r="E250" s="36" t="str">
        <f t="shared" ca="1" si="41"/>
        <v>Throw</v>
      </c>
      <c r="F250" s="36" t="str">
        <f t="shared" ca="1" si="42"/>
        <v>OUT</v>
      </c>
      <c r="G250" s="36">
        <f t="shared" ca="1" si="43"/>
        <v>0</v>
      </c>
      <c r="H250" s="36" t="str">
        <f t="shared" ca="1" si="44"/>
        <v>CTC_XOVR_LEFT:OMW:DBL:HEAD1:GRN</v>
      </c>
      <c r="I250" s="49" t="e">
        <f ca="1">VLOOKUP(Mapping[[#This Row],[Object Name]],PCB_PIN_TABLE,2, FALSE)</f>
        <v>#N/A</v>
      </c>
      <c r="J250" s="36" t="str">
        <f ca="1">_xlfn.CONCAT(Mapping[[#This Row],[Module]], " ", Mapping[[#This Row],[Object Name]])</f>
        <v>CTC_XOVR_LEFT CTC_XOVR_LEFT:OMW:DBL:HEAD1:GRN</v>
      </c>
      <c r="K250" s="36" t="str">
        <f t="shared" ca="1" si="37"/>
        <v>CTn014</v>
      </c>
      <c r="L250" s="36" t="str">
        <f t="shared" ca="1" si="38"/>
        <v>-</v>
      </c>
      <c r="M250" s="47"/>
    </row>
    <row r="251" spans="1:13" x14ac:dyDescent="0.2">
      <c r="A251" s="46" t="s">
        <v>500</v>
      </c>
      <c r="B251" s="55">
        <f t="shared" si="45"/>
        <v>39</v>
      </c>
      <c r="C251" s="36" t="str">
        <f t="shared" ca="1" si="39"/>
        <v>Unassigned</v>
      </c>
      <c r="D251" s="36" t="str">
        <f t="shared" ca="1" si="40"/>
        <v>Unassigned</v>
      </c>
      <c r="E251" s="36">
        <f t="shared" ca="1" si="41"/>
        <v>0</v>
      </c>
      <c r="F251" s="36" t="str">
        <f t="shared" ca="1" si="42"/>
        <v>OUT</v>
      </c>
      <c r="G251" s="36">
        <f t="shared" ca="1" si="43"/>
        <v>0</v>
      </c>
      <c r="H251" s="36" t="str">
        <f t="shared" ca="1" si="44"/>
        <v>-</v>
      </c>
      <c r="I251" s="49" t="e">
        <f ca="1">VLOOKUP(Mapping[[#This Row],[Object Name]],PCB_PIN_TABLE,2, FALSE)</f>
        <v>#N/A</v>
      </c>
      <c r="J251" s="36" t="str">
        <f ca="1">_xlfn.CONCAT(Mapping[[#This Row],[Module]], " ", Mapping[[#This Row],[Object Name]])</f>
        <v>Unassigned -</v>
      </c>
      <c r="K251" s="36" t="str">
        <f t="shared" ca="1" si="37"/>
        <v>CTn015</v>
      </c>
      <c r="L251" s="36" t="str">
        <f t="shared" ca="1" si="38"/>
        <v>-</v>
      </c>
      <c r="M251" s="47"/>
    </row>
    <row r="252" spans="1:13" x14ac:dyDescent="0.2">
      <c r="A252" s="46" t="s">
        <v>500</v>
      </c>
      <c r="B252" s="55">
        <f t="shared" si="45"/>
        <v>40</v>
      </c>
      <c r="C252" s="36" t="str">
        <f t="shared" ca="1" si="39"/>
        <v>Unassigned</v>
      </c>
      <c r="D252" s="36" t="str">
        <f t="shared" ca="1" si="40"/>
        <v>Unassigned</v>
      </c>
      <c r="E252" s="36">
        <f t="shared" ca="1" si="41"/>
        <v>0</v>
      </c>
      <c r="F252" s="36" t="str">
        <f t="shared" ca="1" si="42"/>
        <v>OUT</v>
      </c>
      <c r="G252" s="36">
        <f t="shared" ca="1" si="43"/>
        <v>0</v>
      </c>
      <c r="H252" s="36" t="str">
        <f t="shared" ca="1" si="44"/>
        <v>-</v>
      </c>
      <c r="I252" s="49" t="e">
        <f ca="1">VLOOKUP(Mapping[[#This Row],[Object Name]],PCB_PIN_TABLE,2, FALSE)</f>
        <v>#N/A</v>
      </c>
      <c r="J252" s="36" t="str">
        <f ca="1">_xlfn.CONCAT(Mapping[[#This Row],[Module]], " ", Mapping[[#This Row],[Object Name]])</f>
        <v>Unassigned -</v>
      </c>
      <c r="K252" s="36" t="str">
        <f t="shared" ca="1" si="37"/>
        <v>CTn016</v>
      </c>
      <c r="L252" s="36" t="str">
        <f t="shared" ca="1" si="38"/>
        <v>-</v>
      </c>
      <c r="M252" s="47"/>
    </row>
    <row r="253" spans="1:13" x14ac:dyDescent="0.2">
      <c r="A253" s="46" t="s">
        <v>500</v>
      </c>
      <c r="B253" s="55">
        <f t="shared" si="45"/>
        <v>41</v>
      </c>
      <c r="C253" s="36" t="str">
        <f t="shared" ca="1" si="39"/>
        <v>Unassigned</v>
      </c>
      <c r="D253" s="36" t="str">
        <f t="shared" ca="1" si="40"/>
        <v>Unassigned</v>
      </c>
      <c r="E253" s="36">
        <f t="shared" ca="1" si="41"/>
        <v>0</v>
      </c>
      <c r="F253" s="36" t="str">
        <f t="shared" ca="1" si="42"/>
        <v>OUT</v>
      </c>
      <c r="G253" s="36">
        <f t="shared" ca="1" si="43"/>
        <v>0</v>
      </c>
      <c r="H253" s="36" t="str">
        <f t="shared" ca="1" si="44"/>
        <v>-</v>
      </c>
      <c r="I253" s="49" t="e">
        <f ca="1">VLOOKUP(Mapping[[#This Row],[Object Name]],PCB_PIN_TABLE,2, FALSE)</f>
        <v>#N/A</v>
      </c>
      <c r="J253" s="36" t="str">
        <f ca="1">_xlfn.CONCAT(Mapping[[#This Row],[Module]], " ", Mapping[[#This Row],[Object Name]])</f>
        <v>Unassigned -</v>
      </c>
      <c r="K253" s="36" t="str">
        <f t="shared" ca="1" si="37"/>
        <v>CTn017</v>
      </c>
      <c r="L253" s="36" t="str">
        <f t="shared" ca="1" si="38"/>
        <v>-</v>
      </c>
      <c r="M253" s="47"/>
    </row>
    <row r="254" spans="1:13" x14ac:dyDescent="0.2">
      <c r="A254" s="46" t="s">
        <v>500</v>
      </c>
      <c r="B254" s="55">
        <f t="shared" si="45"/>
        <v>42</v>
      </c>
      <c r="C254" s="36" t="str">
        <f t="shared" ca="1" si="39"/>
        <v>Unassigned</v>
      </c>
      <c r="D254" s="36" t="str">
        <f t="shared" ca="1" si="40"/>
        <v>Unassigned</v>
      </c>
      <c r="E254" s="36">
        <f t="shared" ca="1" si="41"/>
        <v>0</v>
      </c>
      <c r="F254" s="36" t="str">
        <f t="shared" ca="1" si="42"/>
        <v>OUT</v>
      </c>
      <c r="G254" s="36">
        <f t="shared" ca="1" si="43"/>
        <v>0</v>
      </c>
      <c r="H254" s="36" t="str">
        <f t="shared" ca="1" si="44"/>
        <v>-</v>
      </c>
      <c r="I254" s="49" t="e">
        <f ca="1">VLOOKUP(Mapping[[#This Row],[Object Name]],PCB_PIN_TABLE,2, FALSE)</f>
        <v>#N/A</v>
      </c>
      <c r="J254" s="36" t="str">
        <f ca="1">_xlfn.CONCAT(Mapping[[#This Row],[Module]], " ", Mapping[[#This Row],[Object Name]])</f>
        <v>Unassigned -</v>
      </c>
      <c r="K254" s="36" t="str">
        <f t="shared" ca="1" si="37"/>
        <v>CTn018</v>
      </c>
      <c r="L254" s="36" t="str">
        <f t="shared" ca="1" si="38"/>
        <v>-</v>
      </c>
      <c r="M254" s="47"/>
    </row>
    <row r="255" spans="1:13" x14ac:dyDescent="0.2">
      <c r="A255" s="46" t="s">
        <v>500</v>
      </c>
      <c r="B255" s="55">
        <f t="shared" si="45"/>
        <v>43</v>
      </c>
      <c r="C255" s="36" t="str">
        <f t="shared" ca="1" si="39"/>
        <v>Unassigned</v>
      </c>
      <c r="D255" s="36" t="str">
        <f t="shared" ca="1" si="40"/>
        <v>Unassigned</v>
      </c>
      <c r="E255" s="36">
        <f t="shared" ca="1" si="41"/>
        <v>0</v>
      </c>
      <c r="F255" s="36" t="str">
        <f t="shared" ca="1" si="42"/>
        <v>OUT</v>
      </c>
      <c r="G255" s="36">
        <f t="shared" ca="1" si="43"/>
        <v>0</v>
      </c>
      <c r="H255" s="36" t="str">
        <f t="shared" ca="1" si="44"/>
        <v>-</v>
      </c>
      <c r="I255" s="49" t="e">
        <f ca="1">VLOOKUP(Mapping[[#This Row],[Object Name]],PCB_PIN_TABLE,2, FALSE)</f>
        <v>#N/A</v>
      </c>
      <c r="J255" s="36" t="str">
        <f ca="1">_xlfn.CONCAT(Mapping[[#This Row],[Module]], " ", Mapping[[#This Row],[Object Name]])</f>
        <v>Unassigned -</v>
      </c>
      <c r="K255" s="36" t="str">
        <f t="shared" ca="1" si="37"/>
        <v>CTn019</v>
      </c>
      <c r="L255" s="36" t="str">
        <f t="shared" ca="1" si="38"/>
        <v>-</v>
      </c>
      <c r="M255" s="47"/>
    </row>
    <row r="256" spans="1:13" x14ac:dyDescent="0.2">
      <c r="A256" s="46" t="s">
        <v>500</v>
      </c>
      <c r="B256" s="55">
        <f t="shared" si="45"/>
        <v>44</v>
      </c>
      <c r="C256" s="36" t="str">
        <f t="shared" ca="1" si="39"/>
        <v>Unassigned</v>
      </c>
      <c r="D256" s="36" t="str">
        <f t="shared" ca="1" si="40"/>
        <v>Unassigned</v>
      </c>
      <c r="E256" s="36">
        <f t="shared" ca="1" si="41"/>
        <v>0</v>
      </c>
      <c r="F256" s="36" t="str">
        <f t="shared" ca="1" si="42"/>
        <v>OUT</v>
      </c>
      <c r="G256" s="36">
        <f t="shared" ca="1" si="43"/>
        <v>0</v>
      </c>
      <c r="H256" s="36" t="str">
        <f t="shared" ca="1" si="44"/>
        <v>-</v>
      </c>
      <c r="I256" s="49" t="e">
        <f ca="1">VLOOKUP(Mapping[[#This Row],[Object Name]],PCB_PIN_TABLE,2, FALSE)</f>
        <v>#N/A</v>
      </c>
      <c r="J256" s="36" t="str">
        <f ca="1">_xlfn.CONCAT(Mapping[[#This Row],[Module]], " ", Mapping[[#This Row],[Object Name]])</f>
        <v>Unassigned -</v>
      </c>
      <c r="K256" s="36" t="str">
        <f t="shared" ca="1" si="37"/>
        <v>CTn020</v>
      </c>
      <c r="L256" s="36" t="str">
        <f t="shared" ca="1" si="38"/>
        <v>-</v>
      </c>
      <c r="M256" s="47"/>
    </row>
    <row r="257" spans="1:13" x14ac:dyDescent="0.2">
      <c r="A257" s="46" t="s">
        <v>500</v>
      </c>
      <c r="B257" s="55">
        <f t="shared" si="45"/>
        <v>45</v>
      </c>
      <c r="C257" s="36" t="str">
        <f t="shared" ca="1" si="39"/>
        <v>Unassigned</v>
      </c>
      <c r="D257" s="36" t="str">
        <f t="shared" ca="1" si="40"/>
        <v>Unassigned</v>
      </c>
      <c r="E257" s="36">
        <f t="shared" ca="1" si="41"/>
        <v>0</v>
      </c>
      <c r="F257" s="36" t="str">
        <f t="shared" ca="1" si="42"/>
        <v>OUT</v>
      </c>
      <c r="G257" s="36">
        <f t="shared" ca="1" si="43"/>
        <v>0</v>
      </c>
      <c r="H257" s="36" t="str">
        <f t="shared" ca="1" si="44"/>
        <v>-</v>
      </c>
      <c r="I257" s="49" t="e">
        <f ca="1">VLOOKUP(Mapping[[#This Row],[Object Name]],PCB_PIN_TABLE,2, FALSE)</f>
        <v>#N/A</v>
      </c>
      <c r="J257" s="36" t="str">
        <f ca="1">_xlfn.CONCAT(Mapping[[#This Row],[Module]], " ", Mapping[[#This Row],[Object Name]])</f>
        <v>Unassigned -</v>
      </c>
      <c r="K257" s="36" t="str">
        <f t="shared" ca="1" si="37"/>
        <v>CTn021</v>
      </c>
      <c r="L257" s="36" t="str">
        <f t="shared" ca="1" si="38"/>
        <v>-</v>
      </c>
      <c r="M257" s="47"/>
    </row>
    <row r="258" spans="1:13" x14ac:dyDescent="0.2">
      <c r="A258" s="46" t="s">
        <v>500</v>
      </c>
      <c r="B258" s="55">
        <f t="shared" si="45"/>
        <v>46</v>
      </c>
      <c r="C258" s="36" t="str">
        <f t="shared" ca="1" si="39"/>
        <v>Unassigned</v>
      </c>
      <c r="D258" s="36" t="str">
        <f t="shared" ca="1" si="40"/>
        <v>Unassigned</v>
      </c>
      <c r="E258" s="36">
        <f t="shared" ca="1" si="41"/>
        <v>0</v>
      </c>
      <c r="F258" s="36" t="str">
        <f t="shared" ca="1" si="42"/>
        <v>OUT</v>
      </c>
      <c r="G258" s="36">
        <f t="shared" ca="1" si="43"/>
        <v>0</v>
      </c>
      <c r="H258" s="36" t="str">
        <f t="shared" ca="1" si="44"/>
        <v>-</v>
      </c>
      <c r="I258" s="49" t="e">
        <f ca="1">VLOOKUP(Mapping[[#This Row],[Object Name]],PCB_PIN_TABLE,2, FALSE)</f>
        <v>#N/A</v>
      </c>
      <c r="J258" s="36" t="str">
        <f ca="1">_xlfn.CONCAT(Mapping[[#This Row],[Module]], " ", Mapping[[#This Row],[Object Name]])</f>
        <v>Unassigned -</v>
      </c>
      <c r="K258" s="36" t="str">
        <f t="shared" ca="1" si="37"/>
        <v>CTn022</v>
      </c>
      <c r="L258" s="36" t="str">
        <f t="shared" ca="1" si="38"/>
        <v>-</v>
      </c>
      <c r="M258" s="47"/>
    </row>
    <row r="259" spans="1:13" x14ac:dyDescent="0.2">
      <c r="A259" s="46" t="s">
        <v>500</v>
      </c>
      <c r="B259" s="55">
        <f t="shared" si="45"/>
        <v>47</v>
      </c>
      <c r="C259" s="36" t="str">
        <f t="shared" ca="1" si="39"/>
        <v>Unassigned</v>
      </c>
      <c r="D259" s="36" t="str">
        <f t="shared" ca="1" si="40"/>
        <v>Unassigned</v>
      </c>
      <c r="E259" s="36">
        <f t="shared" ca="1" si="41"/>
        <v>0</v>
      </c>
      <c r="F259" s="36" t="str">
        <f t="shared" ca="1" si="42"/>
        <v>OUT</v>
      </c>
      <c r="G259" s="36">
        <f t="shared" ca="1" si="43"/>
        <v>0</v>
      </c>
      <c r="H259" s="36" t="str">
        <f t="shared" ca="1" si="44"/>
        <v>-</v>
      </c>
      <c r="I259" s="49" t="e">
        <f ca="1">VLOOKUP(Mapping[[#This Row],[Object Name]],PCB_PIN_TABLE,2, FALSE)</f>
        <v>#N/A</v>
      </c>
      <c r="J259" s="36" t="str">
        <f ca="1">_xlfn.CONCAT(Mapping[[#This Row],[Module]], " ", Mapping[[#This Row],[Object Name]])</f>
        <v>Unassigned -</v>
      </c>
      <c r="K259" s="36" t="str">
        <f t="shared" ca="1" si="37"/>
        <v>CTn023</v>
      </c>
      <c r="L259" s="36" t="str">
        <f t="shared" ca="1" si="38"/>
        <v>-</v>
      </c>
      <c r="M259" s="47"/>
    </row>
    <row r="260" spans="1:13" x14ac:dyDescent="0.2">
      <c r="A260" s="46" t="s">
        <v>500</v>
      </c>
      <c r="B260" s="61">
        <f t="shared" si="45"/>
        <v>48</v>
      </c>
      <c r="C260" s="36" t="str">
        <f t="shared" ca="1" si="39"/>
        <v>Unassigned</v>
      </c>
      <c r="D260" s="36" t="str">
        <f t="shared" ca="1" si="40"/>
        <v>Unassigned</v>
      </c>
      <c r="E260" s="36">
        <f t="shared" ca="1" si="41"/>
        <v>0</v>
      </c>
      <c r="F260" s="36" t="str">
        <f t="shared" ca="1" si="42"/>
        <v>OUT</v>
      </c>
      <c r="G260" s="36">
        <f t="shared" ca="1" si="43"/>
        <v>0</v>
      </c>
      <c r="H260" s="36" t="str">
        <f t="shared" ca="1" si="44"/>
        <v>-</v>
      </c>
      <c r="I260" s="49" t="e">
        <f ca="1">VLOOKUP(Mapping[[#This Row],[Object Name]],PCB_PIN_TABLE,2, FALSE)</f>
        <v>#N/A</v>
      </c>
      <c r="J260" s="36" t="str">
        <f ca="1">_xlfn.CONCAT(Mapping[[#This Row],[Module]], " ", Mapping[[#This Row],[Object Name]])</f>
        <v>Unassigned -</v>
      </c>
      <c r="K260" s="36" t="str">
        <f t="shared" ca="1" si="37"/>
        <v>CTn024</v>
      </c>
      <c r="L260" s="36" t="str">
        <f t="shared" ca="1" si="38"/>
        <v>-</v>
      </c>
      <c r="M260" s="47"/>
    </row>
    <row r="261" spans="1:13" x14ac:dyDescent="0.2">
      <c r="A261" s="48" t="s">
        <v>500</v>
      </c>
      <c r="B261" s="61">
        <f t="shared" ref="B261:B268" si="46">IF(A260&lt;&gt;A261,1,B260+1)</f>
        <v>49</v>
      </c>
      <c r="C261" s="36" t="str">
        <f t="shared" ca="1" si="39"/>
        <v>CTC_XOVR_LEFT</v>
      </c>
      <c r="D261" s="36" t="str">
        <f t="shared" ca="1" si="40"/>
        <v>Signal Head</v>
      </c>
      <c r="E261" s="36" t="str">
        <f t="shared" ca="1" si="41"/>
        <v>Throw</v>
      </c>
      <c r="F261" s="36" t="str">
        <f t="shared" ca="1" si="42"/>
        <v>OUT</v>
      </c>
      <c r="G261" s="36">
        <f t="shared" ca="1" si="43"/>
        <v>0</v>
      </c>
      <c r="H261" s="36" t="str">
        <f t="shared" ca="1" si="44"/>
        <v>CTC_XOVR_LEFT:IME:DBL:HEAD0:RED</v>
      </c>
      <c r="I261" s="49" t="e">
        <f ca="1">VLOOKUP(Mapping[[#This Row],[Object Name]],PCB_PIN_TABLE,2, FALSE)</f>
        <v>#N/A</v>
      </c>
      <c r="J261" s="36" t="str">
        <f ca="1">_xlfn.CONCAT(Mapping[[#This Row],[Module]], " ", Mapping[[#This Row],[Object Name]])</f>
        <v>CTC_XOVR_LEFT CTC_XOVR_LEFT:IME:DBL:HEAD0:RED</v>
      </c>
      <c r="K261" s="36" t="str">
        <f t="shared" ref="K261:K268" ca="1" si="47">INDEX(INDIRECT(VLOOKUP(A261,NODE_TABLE,3)),B261,K$3,1)</f>
        <v>CTn025</v>
      </c>
      <c r="L261" s="36" t="str">
        <f t="shared" ref="L261:L268" ca="1" si="48">INDEX(INDIRECT(VLOOKUP(A261,NODE_TABLE,3)),B261,L$3,1)</f>
        <v>-</v>
      </c>
      <c r="M261" s="47"/>
    </row>
    <row r="262" spans="1:13" x14ac:dyDescent="0.2">
      <c r="A262" s="48" t="s">
        <v>500</v>
      </c>
      <c r="B262" s="61">
        <f t="shared" si="46"/>
        <v>50</v>
      </c>
      <c r="C262" s="36" t="str">
        <f t="shared" ref="C262:C268" ca="1" si="49">INDEX(INDIRECT(VLOOKUP(A262,NODE_TABLE, 3)),B262,C$3,1)</f>
        <v>CTC_XOVR_LEFT</v>
      </c>
      <c r="D262" s="36" t="str">
        <f t="shared" ref="D262:D268" ca="1" si="50">INDEX(INDIRECT(VLOOKUP(A262,NODE_TABLE, 3)),B262,D$3,1)</f>
        <v>Signal Head</v>
      </c>
      <c r="E262" s="36" t="str">
        <f t="shared" ref="E262:E268" ca="1" si="51">INDEX(INDIRECT(VLOOKUP(A262,NODE_TABLE, 3)),B262,E$3,1)</f>
        <v>Throw</v>
      </c>
      <c r="F262" s="36" t="str">
        <f t="shared" ref="F262:F268" ca="1" si="52">INDEX(INDIRECT(VLOOKUP(A262,NODE_TABLE,3)),B262,F$3,1)</f>
        <v>OUT</v>
      </c>
      <c r="G262" s="36">
        <f t="shared" ref="G262:G268" ca="1" si="53">INDEX(INDIRECT(VLOOKUP(A262,NODE_TABLE,3)),B262,G$3,1)</f>
        <v>0</v>
      </c>
      <c r="H262" s="36" t="str">
        <f t="shared" ref="H262:H268" ca="1" si="54">INDEX(INDIRECT(VLOOKUP(A262,NODE_TABLE,3)),B262,H$3,1)</f>
        <v>CTC_XOVR_LEFT:IME:DBL:HEAD0:YEL</v>
      </c>
      <c r="I262" s="49" t="e">
        <f ca="1">VLOOKUP(Mapping[[#This Row],[Object Name]],PCB_PIN_TABLE,2, FALSE)</f>
        <v>#N/A</v>
      </c>
      <c r="J262" s="36" t="str">
        <f ca="1">_xlfn.CONCAT(Mapping[[#This Row],[Module]], " ", Mapping[[#This Row],[Object Name]])</f>
        <v>CTC_XOVR_LEFT CTC_XOVR_LEFT:IME:DBL:HEAD0:YEL</v>
      </c>
      <c r="K262" s="36" t="str">
        <f t="shared" ca="1" si="47"/>
        <v>CTn026</v>
      </c>
      <c r="L262" s="36" t="str">
        <f t="shared" ca="1" si="48"/>
        <v>-</v>
      </c>
      <c r="M262" s="47"/>
    </row>
    <row r="263" spans="1:13" x14ac:dyDescent="0.2">
      <c r="A263" s="48" t="s">
        <v>500</v>
      </c>
      <c r="B263" s="61">
        <f t="shared" si="46"/>
        <v>51</v>
      </c>
      <c r="C263" s="36" t="str">
        <f t="shared" ca="1" si="49"/>
        <v>CTC_XOVR_LEFT</v>
      </c>
      <c r="D263" s="36" t="str">
        <f t="shared" ca="1" si="50"/>
        <v>Signal Head</v>
      </c>
      <c r="E263" s="36" t="str">
        <f t="shared" ca="1" si="51"/>
        <v>Throw</v>
      </c>
      <c r="F263" s="36" t="str">
        <f t="shared" ca="1" si="52"/>
        <v>OUT</v>
      </c>
      <c r="G263" s="36">
        <f t="shared" ca="1" si="53"/>
        <v>0</v>
      </c>
      <c r="H263" s="36" t="str">
        <f t="shared" ca="1" si="54"/>
        <v>CTC_XOVR_LEFT:IME:DBL:HEAD0:GRN</v>
      </c>
      <c r="I263" s="49" t="e">
        <f ca="1">VLOOKUP(Mapping[[#This Row],[Object Name]],PCB_PIN_TABLE,2, FALSE)</f>
        <v>#N/A</v>
      </c>
      <c r="J263" s="36" t="str">
        <f ca="1">_xlfn.CONCAT(Mapping[[#This Row],[Module]], " ", Mapping[[#This Row],[Object Name]])</f>
        <v>CTC_XOVR_LEFT CTC_XOVR_LEFT:IME:DBL:HEAD0:GRN</v>
      </c>
      <c r="K263" s="36" t="str">
        <f t="shared" ca="1" si="47"/>
        <v>CTn027</v>
      </c>
      <c r="L263" s="36" t="str">
        <f t="shared" ca="1" si="48"/>
        <v>-</v>
      </c>
      <c r="M263" s="47"/>
    </row>
    <row r="264" spans="1:13" x14ac:dyDescent="0.2">
      <c r="A264" s="48" t="s">
        <v>500</v>
      </c>
      <c r="B264" s="61">
        <f t="shared" si="46"/>
        <v>52</v>
      </c>
      <c r="C264" s="36" t="str">
        <f t="shared" ca="1" si="49"/>
        <v>CTC_XOVR_LEFT</v>
      </c>
      <c r="D264" s="36" t="str">
        <f t="shared" ca="1" si="50"/>
        <v>Signal Head</v>
      </c>
      <c r="E264" s="36" t="str">
        <f t="shared" ca="1" si="51"/>
        <v>Throw</v>
      </c>
      <c r="F264" s="36" t="str">
        <f t="shared" ca="1" si="52"/>
        <v>OUT</v>
      </c>
      <c r="G264" s="36">
        <f t="shared" ca="1" si="53"/>
        <v>0</v>
      </c>
      <c r="H264" s="36" t="str">
        <f t="shared" ca="1" si="54"/>
        <v>CTC_XOVR_LEFT:IME:DBL:HEAD1:RED</v>
      </c>
      <c r="I264" s="49" t="e">
        <f ca="1">VLOOKUP(Mapping[[#This Row],[Object Name]],PCB_PIN_TABLE,2, FALSE)</f>
        <v>#N/A</v>
      </c>
      <c r="J264" s="36" t="str">
        <f ca="1">_xlfn.CONCAT(Mapping[[#This Row],[Module]], " ", Mapping[[#This Row],[Object Name]])</f>
        <v>CTC_XOVR_LEFT CTC_XOVR_LEFT:IME:DBL:HEAD1:RED</v>
      </c>
      <c r="K264" s="36" t="str">
        <f t="shared" ca="1" si="47"/>
        <v>CTn028</v>
      </c>
      <c r="L264" s="36" t="str">
        <f t="shared" ca="1" si="48"/>
        <v>-</v>
      </c>
      <c r="M264" s="47"/>
    </row>
    <row r="265" spans="1:13" x14ac:dyDescent="0.2">
      <c r="A265" s="48" t="s">
        <v>500</v>
      </c>
      <c r="B265" s="61">
        <f t="shared" si="46"/>
        <v>53</v>
      </c>
      <c r="C265" s="36" t="str">
        <f t="shared" ca="1" si="49"/>
        <v>CTC_XOVR_LEFT</v>
      </c>
      <c r="D265" s="36" t="str">
        <f t="shared" ca="1" si="50"/>
        <v>Signal Head</v>
      </c>
      <c r="E265" s="36" t="str">
        <f t="shared" ca="1" si="51"/>
        <v>Throw</v>
      </c>
      <c r="F265" s="36" t="str">
        <f t="shared" ca="1" si="52"/>
        <v>OUT</v>
      </c>
      <c r="G265" s="36">
        <f t="shared" ca="1" si="53"/>
        <v>0</v>
      </c>
      <c r="H265" s="36" t="str">
        <f t="shared" ca="1" si="54"/>
        <v>CTC_XOVR_LEFT:IME:DBL:HEAD1:YEL</v>
      </c>
      <c r="I265" s="49" t="e">
        <f ca="1">VLOOKUP(Mapping[[#This Row],[Object Name]],PCB_PIN_TABLE,2, FALSE)</f>
        <v>#N/A</v>
      </c>
      <c r="J265" s="36" t="str">
        <f ca="1">_xlfn.CONCAT(Mapping[[#This Row],[Module]], " ", Mapping[[#This Row],[Object Name]])</f>
        <v>CTC_XOVR_LEFT CTC_XOVR_LEFT:IME:DBL:HEAD1:YEL</v>
      </c>
      <c r="K265" s="36" t="str">
        <f t="shared" ca="1" si="47"/>
        <v>CTn029</v>
      </c>
      <c r="L265" s="36" t="str">
        <f t="shared" ca="1" si="48"/>
        <v>-</v>
      </c>
      <c r="M265" s="47"/>
    </row>
    <row r="266" spans="1:13" x14ac:dyDescent="0.2">
      <c r="A266" s="48" t="s">
        <v>500</v>
      </c>
      <c r="B266" s="61">
        <f t="shared" si="46"/>
        <v>54</v>
      </c>
      <c r="C266" s="36" t="str">
        <f t="shared" ca="1" si="49"/>
        <v>CTC_XOVR_LEFT</v>
      </c>
      <c r="D266" s="36" t="str">
        <f t="shared" ca="1" si="50"/>
        <v>Signal Head</v>
      </c>
      <c r="E266" s="36" t="str">
        <f t="shared" ca="1" si="51"/>
        <v>Throw</v>
      </c>
      <c r="F266" s="36" t="str">
        <f t="shared" ca="1" si="52"/>
        <v>OUT</v>
      </c>
      <c r="G266" s="36">
        <f t="shared" ca="1" si="53"/>
        <v>0</v>
      </c>
      <c r="H266" s="36" t="str">
        <f t="shared" ca="1" si="54"/>
        <v>CTC_XOVR_LEFT:IME:DBL:HEAD1:GRN</v>
      </c>
      <c r="I266" s="49" t="e">
        <f ca="1">VLOOKUP(Mapping[[#This Row],[Object Name]],PCB_PIN_TABLE,2, FALSE)</f>
        <v>#N/A</v>
      </c>
      <c r="J266" s="36" t="str">
        <f ca="1">_xlfn.CONCAT(Mapping[[#This Row],[Module]], " ", Mapping[[#This Row],[Object Name]])</f>
        <v>CTC_XOVR_LEFT CTC_XOVR_LEFT:IME:DBL:HEAD1:GRN</v>
      </c>
      <c r="K266" s="36" t="str">
        <f t="shared" ca="1" si="47"/>
        <v>CTn030</v>
      </c>
      <c r="L266" s="36" t="str">
        <f t="shared" ca="1" si="48"/>
        <v>-</v>
      </c>
      <c r="M266" s="47"/>
    </row>
    <row r="267" spans="1:13" x14ac:dyDescent="0.2">
      <c r="A267" s="48" t="s">
        <v>500</v>
      </c>
      <c r="B267" s="61">
        <f t="shared" si="46"/>
        <v>55</v>
      </c>
      <c r="C267" s="36" t="str">
        <f t="shared" ca="1" si="49"/>
        <v>Unassigned</v>
      </c>
      <c r="D267" s="36" t="str">
        <f t="shared" ca="1" si="50"/>
        <v>Unassigned</v>
      </c>
      <c r="E267" s="36">
        <f t="shared" ca="1" si="51"/>
        <v>0</v>
      </c>
      <c r="F267" s="36" t="str">
        <f t="shared" ca="1" si="52"/>
        <v>OUT</v>
      </c>
      <c r="G267" s="36">
        <f t="shared" ca="1" si="53"/>
        <v>0</v>
      </c>
      <c r="H267" s="36" t="str">
        <f t="shared" ca="1" si="54"/>
        <v>-</v>
      </c>
      <c r="I267" s="49" t="e">
        <f ca="1">VLOOKUP(Mapping[[#This Row],[Object Name]],PCB_PIN_TABLE,2, FALSE)</f>
        <v>#N/A</v>
      </c>
      <c r="J267" s="36" t="str">
        <f ca="1">_xlfn.CONCAT(Mapping[[#This Row],[Module]], " ", Mapping[[#This Row],[Object Name]])</f>
        <v>Unassigned -</v>
      </c>
      <c r="K267" s="36" t="str">
        <f t="shared" ca="1" si="47"/>
        <v>CTn031</v>
      </c>
      <c r="L267" s="36" t="str">
        <f t="shared" ca="1" si="48"/>
        <v>-</v>
      </c>
      <c r="M267" s="47"/>
    </row>
    <row r="268" spans="1:13" x14ac:dyDescent="0.2">
      <c r="A268" s="48" t="s">
        <v>500</v>
      </c>
      <c r="B268" s="61">
        <f t="shared" si="46"/>
        <v>56</v>
      </c>
      <c r="C268" s="36" t="str">
        <f t="shared" ca="1" si="49"/>
        <v>Unassigned</v>
      </c>
      <c r="D268" s="36" t="str">
        <f t="shared" ca="1" si="50"/>
        <v>Unassigned</v>
      </c>
      <c r="E268" s="36">
        <f t="shared" ca="1" si="51"/>
        <v>0</v>
      </c>
      <c r="F268" s="36" t="str">
        <f t="shared" ca="1" si="52"/>
        <v>OUT</v>
      </c>
      <c r="G268" s="36">
        <f t="shared" ca="1" si="53"/>
        <v>0</v>
      </c>
      <c r="H268" s="36" t="str">
        <f t="shared" ca="1" si="54"/>
        <v>-</v>
      </c>
      <c r="I268" s="49" t="e">
        <f ca="1">VLOOKUP(Mapping[[#This Row],[Object Name]],PCB_PIN_TABLE,2, FALSE)</f>
        <v>#N/A</v>
      </c>
      <c r="J268" s="36" t="str">
        <f ca="1">_xlfn.CONCAT(Mapping[[#This Row],[Module]], " ", Mapping[[#This Row],[Object Name]])</f>
        <v>Unassigned -</v>
      </c>
      <c r="K268" s="36" t="str">
        <f t="shared" ca="1" si="47"/>
        <v>CTn032</v>
      </c>
      <c r="L268" s="36" t="str">
        <f t="shared" ca="1" si="48"/>
        <v>-</v>
      </c>
      <c r="M268" s="47"/>
    </row>
  </sheetData>
  <dataConsolidate/>
  <mergeCells count="4">
    <mergeCell ref="A1:M1"/>
    <mergeCell ref="A3:B3"/>
    <mergeCell ref="I3:J3"/>
    <mergeCell ref="A2:M2"/>
  </mergeCells>
  <pageMargins left="0.7" right="0.7" top="0.75" bottom="0.75" header="0.3" footer="0.3"/>
  <pageSetup scale="20" orientation="landscape"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DCA55C9-8921-B74B-A670-08685B8FCAF4}">
          <x14:formula1>
            <xm:f>OFFSET('System Parameters'!$J$1, MATCH(F5,'System Parameters'!$J:$J,0)-1,1,COUNTIF('System Parameters'!$J:$J,F5),1)</xm:f>
          </x14:formula1>
          <xm:sqref>D5:D268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47</vt:i4>
      </vt:variant>
    </vt:vector>
  </HeadingPairs>
  <TitlesOfParts>
    <vt:vector size="59" baseType="lpstr">
      <vt:lpstr>IO Analysis</vt:lpstr>
      <vt:lpstr>System Parameters</vt:lpstr>
      <vt:lpstr>Node 1</vt:lpstr>
      <vt:lpstr>Node 2</vt:lpstr>
      <vt:lpstr>Node 3</vt:lpstr>
      <vt:lpstr>Node 4</vt:lpstr>
      <vt:lpstr>Node 5</vt:lpstr>
      <vt:lpstr>Node 6</vt:lpstr>
      <vt:lpstr>System Module-Node Mapping</vt:lpstr>
      <vt:lpstr>Node Device Pin Config</vt:lpstr>
      <vt:lpstr>Node JMRI Pin Config</vt:lpstr>
      <vt:lpstr>BUS MAPPING</vt:lpstr>
      <vt:lpstr>BaseNodeConfigurations</vt:lpstr>
      <vt:lpstr>BaseNodeIOTable</vt:lpstr>
      <vt:lpstr>CMRINET_BAUD_RATE</vt:lpstr>
      <vt:lpstr>cpNode_Addresses</vt:lpstr>
      <vt:lpstr>DCC_Decoders</vt:lpstr>
      <vt:lpstr>DCCAddresses</vt:lpstr>
      <vt:lpstr>IN_TYPES</vt:lpstr>
      <vt:lpstr>IOXConfigurations</vt:lpstr>
      <vt:lpstr>IOXJumperConfiguration</vt:lpstr>
      <vt:lpstr>IOXNodeIOTable</vt:lpstr>
      <vt:lpstr>IOXSketchTable</vt:lpstr>
      <vt:lpstr>JMRI_STATE</vt:lpstr>
      <vt:lpstr>JMRI_TURNOUT</vt:lpstr>
      <vt:lpstr>MODULE_TABLE</vt:lpstr>
      <vt:lpstr>Module1Nodes</vt:lpstr>
      <vt:lpstr>Module2Nodes</vt:lpstr>
      <vt:lpstr>Module3Nodes</vt:lpstr>
      <vt:lpstr>Module4Nodes</vt:lpstr>
      <vt:lpstr>Module5Nodes</vt:lpstr>
      <vt:lpstr>Module6Nodes</vt:lpstr>
      <vt:lpstr>NODE_TABLE</vt:lpstr>
      <vt:lpstr>NODE1_TABLE</vt:lpstr>
      <vt:lpstr>NODE2_TABLE</vt:lpstr>
      <vt:lpstr>NODE3_TABLE</vt:lpstr>
      <vt:lpstr>NODE4_TABLE</vt:lpstr>
      <vt:lpstr>NODE5_TABLE</vt:lpstr>
      <vt:lpstr>NODE6_TABLE</vt:lpstr>
      <vt:lpstr>nodeDevicePinConfigList</vt:lpstr>
      <vt:lpstr>nodeDevicePinConfigTable</vt:lpstr>
      <vt:lpstr>nodeJMRIPinConfigList</vt:lpstr>
      <vt:lpstr>nodeJMRIPinConfigTable</vt:lpstr>
      <vt:lpstr>OBJECT_TYPES</vt:lpstr>
      <vt:lpstr>OUT_TYPES</vt:lpstr>
      <vt:lpstr>PCB_PIN_NAMES</vt:lpstr>
      <vt:lpstr>PCB_PIN_TABLE</vt:lpstr>
      <vt:lpstr>PCB_PINS</vt:lpstr>
      <vt:lpstr>'Node 1'!Print_Area</vt:lpstr>
      <vt:lpstr>'Node 2'!Print_Area</vt:lpstr>
      <vt:lpstr>'Node 6'!Print_Area</vt:lpstr>
      <vt:lpstr>'System Module-Node Mapping'!Print_Area</vt:lpstr>
      <vt:lpstr>SMINIConfiguration</vt:lpstr>
      <vt:lpstr>SMINIJMRITable</vt:lpstr>
      <vt:lpstr>SMINIPinTable</vt:lpstr>
      <vt:lpstr>SMINISW2</vt:lpstr>
      <vt:lpstr>VALID_DIR</vt:lpstr>
      <vt:lpstr>VALID_MODULES</vt:lpstr>
      <vt:lpstr>VALID_NODES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Erich Whitney</dc:creator>
  <cp:keywords/>
  <dc:description/>
  <cp:lastModifiedBy>Erich Whitney</cp:lastModifiedBy>
  <cp:revision/>
  <dcterms:created xsi:type="dcterms:W3CDTF">2013-07-13T17:09:58Z</dcterms:created>
  <dcterms:modified xsi:type="dcterms:W3CDTF">2020-12-31T18:16:31Z</dcterms:modified>
  <cp:category/>
  <cp:contentStatus/>
</cp:coreProperties>
</file>