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erikj\Box Sync\Davies_WorkSpace\MatlabZdata\"/>
    </mc:Choice>
  </mc:AlternateContent>
  <xr:revisionPtr revIDLastSave="0" documentId="13_ncr:1_{421986E3-436E-43C3-B10B-FD83CCDB6203}" xr6:coauthVersionLast="45" xr6:coauthVersionMax="45" xr10:uidLastSave="{00000000-0000-0000-0000-000000000000}"/>
  <bookViews>
    <workbookView xWindow="1575" yWindow="1710" windowWidth="18450" windowHeight="134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82" i="1" l="1"/>
  <c r="AA82" i="1"/>
  <c r="Z82" i="1"/>
  <c r="Y82" i="1"/>
  <c r="Z85" i="1"/>
  <c r="Y85" i="1"/>
  <c r="Y52" i="1" l="1"/>
  <c r="Z52" i="1"/>
  <c r="Y6" i="1"/>
  <c r="Z103" i="1" l="1"/>
  <c r="L118" i="1" s="1"/>
  <c r="Y103" i="1"/>
  <c r="K118" i="1" s="1"/>
  <c r="Z67" i="1"/>
  <c r="L77" i="1" s="1"/>
  <c r="Y67" i="1"/>
  <c r="K77" i="1" s="1"/>
  <c r="Z55" i="1"/>
  <c r="L60" i="1" s="1"/>
  <c r="Y55" i="1"/>
  <c r="K60" i="1" s="1"/>
  <c r="Z32" i="1"/>
  <c r="L47" i="1" s="1"/>
  <c r="Y32" i="1"/>
  <c r="K47" i="1" s="1"/>
  <c r="Z9" i="1"/>
  <c r="L24" i="1" s="1"/>
  <c r="Y9" i="1"/>
  <c r="K24" i="1" s="1"/>
  <c r="Z100" i="1" l="1"/>
  <c r="AD29" i="1"/>
  <c r="Z29" i="1"/>
  <c r="AD6" i="1"/>
  <c r="Z6" i="1"/>
  <c r="AD100" i="1" l="1"/>
  <c r="AC100" i="1"/>
  <c r="AB100" i="1" l="1"/>
  <c r="AA100" i="1"/>
  <c r="Y100" i="1"/>
  <c r="Z64" i="1"/>
  <c r="Y64" i="1"/>
  <c r="AB64" i="1"/>
  <c r="AD64" i="1"/>
  <c r="AC64" i="1"/>
  <c r="AA64" i="1"/>
  <c r="AD52" i="1"/>
  <c r="AC52" i="1"/>
  <c r="AA52" i="1"/>
  <c r="AB52" i="1"/>
  <c r="AC29" i="1" l="1"/>
  <c r="Y29" i="1"/>
  <c r="AB29" i="1"/>
  <c r="AA29" i="1"/>
  <c r="AC6" i="1"/>
  <c r="W114" i="1"/>
  <c r="V114" i="1"/>
  <c r="W109" i="1"/>
  <c r="V109" i="1"/>
  <c r="W104" i="1"/>
  <c r="V104" i="1"/>
  <c r="W99" i="1"/>
  <c r="V99" i="1"/>
  <c r="W91" i="1"/>
  <c r="V91" i="1"/>
  <c r="W86" i="1"/>
  <c r="V86" i="1"/>
  <c r="W81" i="1"/>
  <c r="V81" i="1"/>
  <c r="W73" i="1"/>
  <c r="V73" i="1"/>
  <c r="W68" i="1"/>
  <c r="V68" i="1"/>
  <c r="W63" i="1"/>
  <c r="V63" i="1"/>
  <c r="W43" i="1"/>
  <c r="V43" i="1"/>
  <c r="W33" i="1"/>
  <c r="V33" i="1"/>
  <c r="V38" i="1"/>
  <c r="W38" i="1"/>
  <c r="W28" i="1"/>
  <c r="V28" i="1"/>
  <c r="AB6" i="1"/>
  <c r="AA6" i="1"/>
  <c r="V93" i="1" l="1"/>
  <c r="W93" i="1" s="1"/>
  <c r="V88" i="1"/>
  <c r="W88" i="1" s="1"/>
  <c r="V83" i="1"/>
  <c r="W83" i="1" s="1"/>
  <c r="Q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tc={F7D1FD9B-0713-40B6-A14D-9C5E18776AE8}</author>
    <author>tc={854D7614-D751-44D1-BB84-A4EBFDAC5344}</author>
    <author>tc={3BDD6754-BCDF-4A68-81DF-2E6A10B0D40F}</author>
    <author>erik davies</author>
    <author>tc={C133311B-716B-44FE-9462-83FABD6048BA}</author>
    <author>tc={E98390F8-1D65-4655-9C51-FB99C1841D7E}</author>
    <author>tc={CFF626B8-5D62-4E03-9FC9-27671437B77D}</author>
    <author>tc={E8290501-1754-4F40-ADF8-8D42604DDBC9}</author>
    <author>tc={D627FDD5-6FE1-4F4A-8F04-039694D00EE2}</author>
    <author>tc={06D4768E-BBBF-4395-8651-F8628D43E184}</author>
  </authors>
  <commentList>
    <comment ref="AF1" authorId="0" shapeId="0" xr:uid="{F7D1FD9B-0713-40B6-A14D-9C5E18776AE8}">
      <text>
        <t>[Threaded comment]
Your version of Excel allows you to read this threaded comment; however, any edits to it will get removed if the file is opened in a newer version of Excel. Learn more: https://go.microsoft.com/fwlink/?linkid=870924
Comment:
    Liquid densities come about from averages of experiments so each flyer velocity has a liquid density calulated</t>
      </text>
    </comment>
    <comment ref="AH1" authorId="1" shapeId="0" xr:uid="{854D7614-D751-44D1-BB84-A4EBFDAC5344}">
      <text>
        <t>[Threaded comment]
Your version of Excel allows you to read this threaded comment; however, any edits to it will get removed if the file is opened in a newer version of Excel. Learn more: https://go.microsoft.com/fwlink/?linkid=870924
Comment:
    Us from the liquid forsterite striking the window</t>
      </text>
    </comment>
    <comment ref="G5" authorId="2" shapeId="0" xr:uid="{3BDD6754-BCDF-4A68-81DF-2E6A10B0D40F}">
      <text>
        <t>[Threaded comment]
Your version of Excel allows you to read this threaded comment; however, any edits to it will get removed if the file is opened in a newer version of Excel. Learn more: https://go.microsoft.com/fwlink/?linkid=870924
Comment:
    May be legetimately slower. This can sometimes happen on top and bottom of the sample plate. Should probably just flag this entire sample</t>
      </text>
    </comment>
    <comment ref="Q25" authorId="3" shapeId="0" xr:uid="{8B1EA05E-1738-4AA2-B255-1ADAE2DD0427}">
      <text>
        <r>
          <rPr>
            <b/>
            <sz val="9"/>
            <color indexed="81"/>
            <rFont val="Tahoma"/>
            <charset val="1"/>
          </rPr>
          <t>erik davies:</t>
        </r>
        <r>
          <rPr>
            <sz val="9"/>
            <color indexed="81"/>
            <rFont val="Tahoma"/>
            <charset val="1"/>
          </rPr>
          <t xml:space="preserve">
Expected T, calculated using gamma and densities</t>
        </r>
      </text>
    </comment>
    <comment ref="Q48" authorId="3" shapeId="0" xr:uid="{DD3138FB-9932-4ED4-8315-A0990310480D}">
      <text>
        <r>
          <rPr>
            <b/>
            <sz val="9"/>
            <color indexed="81"/>
            <rFont val="Tahoma"/>
            <charset val="1"/>
          </rPr>
          <t>erik davies:</t>
        </r>
        <r>
          <rPr>
            <sz val="9"/>
            <color indexed="81"/>
            <rFont val="Tahoma"/>
            <charset val="1"/>
          </rPr>
          <t xml:space="preserve">
Expected T, calculated using gamma and densities</t>
        </r>
      </text>
    </comment>
    <comment ref="B50" authorId="4" shapeId="0" xr:uid="{C133311B-716B-44FE-9462-83FABD6048BA}">
      <text>
        <t>[Threaded comment]
Your version of Excel allows you to read this threaded comment; however, any edits to it will get removed if the file is opened in a newer version of Excel. Learn more: https://go.microsoft.com/fwlink/?linkid=870924
Comment:
    N01 and N04 have extraordinarily difficult breakout signals to see. So if the data doesn't make sense (read the shock density) this is why. There is uncertainty to where the breakout is for all slow shots, so this is something we need to consider for the future.</t>
      </text>
    </comment>
    <comment ref="Q61" authorId="3" shapeId="0" xr:uid="{BBDFCD4C-C8D4-42EF-BBA0-7CE45A78D60E}">
      <text>
        <r>
          <rPr>
            <b/>
            <sz val="9"/>
            <color indexed="81"/>
            <rFont val="Tahoma"/>
            <charset val="1"/>
          </rPr>
          <t>erik davies:</t>
        </r>
        <r>
          <rPr>
            <sz val="9"/>
            <color indexed="81"/>
            <rFont val="Tahoma"/>
            <charset val="1"/>
          </rPr>
          <t xml:space="preserve">
Expected T, calculated using gamma and densities</t>
        </r>
      </text>
    </comment>
    <comment ref="Q78" authorId="3" shapeId="0" xr:uid="{8EC978EB-DCE0-4609-B5D2-7C2F1877FC6E}">
      <text>
        <r>
          <rPr>
            <b/>
            <sz val="9"/>
            <color indexed="81"/>
            <rFont val="Tahoma"/>
            <charset val="1"/>
          </rPr>
          <t>erik davies:</t>
        </r>
        <r>
          <rPr>
            <sz val="9"/>
            <color indexed="81"/>
            <rFont val="Tahoma"/>
            <charset val="1"/>
          </rPr>
          <t xml:space="preserve">
Expected T, calculated using gamma and densities</t>
        </r>
      </text>
    </comment>
    <comment ref="AF82" authorId="5" shapeId="0" xr:uid="{E98390F8-1D65-4655-9C51-FB99C1841D7E}">
      <text>
        <t>[Threaded comment]
Your version of Excel allows you to read this threaded comment; however, any edits to it will get removed if the file is opened in a newer version of Excel. Learn more: https://go.microsoft.com/fwlink/?linkid=870924
Comment:
    Calculated from the fitted S and C</t>
      </text>
    </comment>
    <comment ref="AP82" authorId="6" shapeId="0" xr:uid="{CFF626B8-5D62-4E03-9FC9-27671437B77D}">
      <text>
        <t>[Threaded comment]
Your version of Excel allows you to read this threaded comment; however, any edits to it will get removed if the file is opened in a newer version of Excel. Learn more: https://go.microsoft.com/fwlink/?linkid=870924
Comment:
    These parameters are fit</t>
      </text>
    </comment>
    <comment ref="AF83" authorId="7" shapeId="0" xr:uid="{E8290501-1754-4F40-ADF8-8D42604DDBC9}">
      <text>
        <t>[Threaded comment]
Your version of Excel allows you to read this threaded comment; however, any edits to it will get removed if the file is opened in a newer version of Excel. Learn more: https://go.microsoft.com/fwlink/?linkid=870924
Comment:
    Predicted from us v. Density</t>
      </text>
    </comment>
    <comment ref="Q96" authorId="8" shapeId="0" xr:uid="{D627FDD5-6FE1-4F4A-8F04-039694D00EE2}">
      <text>
        <t>[Threaded comment]
Your version of Excel allows you to read this threaded comment; however, any edits to it will get removed if the file is opened in a newer version of Excel. Learn more: https://go.microsoft.com/fwlink/?linkid=870924
Comment:
    From modeled density. V Large sigma</t>
      </text>
    </comment>
    <comment ref="K111" authorId="9" shapeId="0" xr:uid="{06D4768E-BBBF-4395-8651-F8628D43E184}">
      <text>
        <t>[Threaded comment]
Your version of Excel allows you to read this threaded comment; however, any edits to it will get removed if the file is opened in a newer version of Excel. Learn more: https://go.microsoft.com/fwlink/?linkid=870924
Comment:
    From a transit time, flagging for now</t>
      </text>
    </comment>
    <comment ref="Q119" authorId="3" shapeId="0" xr:uid="{43A31F2F-21E7-4150-971C-954FE93D6145}">
      <text>
        <r>
          <rPr>
            <b/>
            <sz val="9"/>
            <color indexed="81"/>
            <rFont val="Tahoma"/>
            <charset val="1"/>
          </rPr>
          <t>erik davies:</t>
        </r>
        <r>
          <rPr>
            <sz val="9"/>
            <color indexed="81"/>
            <rFont val="Tahoma"/>
            <charset val="1"/>
          </rPr>
          <t xml:space="preserve">
Expected T, calculated using gamma and densities</t>
        </r>
      </text>
    </comment>
  </commentList>
</comments>
</file>

<file path=xl/sharedStrings.xml><?xml version="1.0" encoding="utf-8"?>
<sst xmlns="http://schemas.openxmlformats.org/spreadsheetml/2006/main" count="164" uniqueCount="65">
  <si>
    <t>Avg Thk</t>
  </si>
  <si>
    <t>±</t>
  </si>
  <si>
    <t>Al Flyer (km/s)</t>
  </si>
  <si>
    <t>Liq flyer</t>
  </si>
  <si>
    <t>Us (km/s)</t>
  </si>
  <si>
    <t>Up (km/s)</t>
  </si>
  <si>
    <t>P (GPa)</t>
  </si>
  <si>
    <t>T (K)</t>
  </si>
  <si>
    <t>S (J/kgK)</t>
  </si>
  <si>
    <t>Reshock</t>
  </si>
  <si>
    <t>N01</t>
  </si>
  <si>
    <t>Stagnation</t>
  </si>
  <si>
    <t>J22369 Forsterite</t>
  </si>
  <si>
    <t>J22724 Spacer</t>
  </si>
  <si>
    <t>J22010 TPX</t>
  </si>
  <si>
    <t>N04</t>
  </si>
  <si>
    <t>J13277 A-Qtz</t>
  </si>
  <si>
    <t>S03</t>
  </si>
  <si>
    <t>J22367 Spacer</t>
  </si>
  <si>
    <t>S06</t>
  </si>
  <si>
    <t>J22725 Spacer</t>
  </si>
  <si>
    <t>J22724 Al Spacer</t>
  </si>
  <si>
    <t>J13277 Quartz</t>
  </si>
  <si>
    <t>J22367 Al Spacer</t>
  </si>
  <si>
    <t>J22725 Al Spacer</t>
  </si>
  <si>
    <t>S02</t>
  </si>
  <si>
    <t>S05</t>
  </si>
  <si>
    <t>Forsterite</t>
  </si>
  <si>
    <t>Spacer J52034</t>
  </si>
  <si>
    <t>Quartz J13152</t>
  </si>
  <si>
    <t>N02</t>
  </si>
  <si>
    <t xml:space="preserve">Forsterite </t>
  </si>
  <si>
    <t>Spacer J52033</t>
  </si>
  <si>
    <t>N03</t>
  </si>
  <si>
    <t>Spacer J52032</t>
  </si>
  <si>
    <t>Spacer</t>
  </si>
  <si>
    <t>TPX</t>
  </si>
  <si>
    <t>Quartz</t>
  </si>
  <si>
    <t>Space</t>
  </si>
  <si>
    <t>S</t>
  </si>
  <si>
    <t>Averages for Density Calculation</t>
  </si>
  <si>
    <t>Liq Flyer</t>
  </si>
  <si>
    <t>Us qtz(km/s)</t>
  </si>
  <si>
    <t>Us tpx(km/s)</t>
  </si>
  <si>
    <t>ρH Fo -&gt; Qtz</t>
  </si>
  <si>
    <t>ρH Fo -&gt; TPX</t>
  </si>
  <si>
    <t>C_0 (km/s)</t>
  </si>
  <si>
    <t>ρLiq (g/cm^3)</t>
  </si>
  <si>
    <t>Us FoL -&gt; Qtz (km/s)</t>
  </si>
  <si>
    <t>Us FoL -&gt; TPX (km/s)</t>
  </si>
  <si>
    <t>ρH (kg/m3)</t>
  </si>
  <si>
    <t>S and C covariance</t>
  </si>
  <si>
    <t>[[ 0.10799152 -0.34231762]</t>
  </si>
  <si>
    <t xml:space="preserve"> [-0.34231762  1.15599078]]</t>
  </si>
  <si>
    <t>[[ 0.07280922 -0.28175326]</t>
  </si>
  <si>
    <t xml:space="preserve"> [-0.28175326  1.14633351]]</t>
  </si>
  <si>
    <t>[[ 0.22920422 -0.66237182]</t>
  </si>
  <si>
    <t xml:space="preserve"> [-0.66237182  2.0196534 ]]</t>
  </si>
  <si>
    <t>[[ 0.18870064 -0.52872613]</t>
  </si>
  <si>
    <t xml:space="preserve"> [-0.52872613  1.55844094]]</t>
  </si>
  <si>
    <t>[[ 0.15223966 -0.41484817]</t>
  </si>
  <si>
    <t xml:space="preserve"> [-0.41484817  1.18364656]]</t>
  </si>
  <si>
    <t>Average Sam Us</t>
  </si>
  <si>
    <t>Average Sam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</si>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</sst>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
    <numFmt numFmtId="166" formatCode="0.0000"/>
    <numFmt numFmtId="167" formatCode="0.0"/>
  </numFmts>
  <fonts count="32" x14ac:knownFonts="1">
    <font>
      <sz val="11"/>
      <color theme="1"/>
      <name val="Calibri"/>
      <family val="2"/>
      <scheme val="minor"/>
    </font>
    <font>
      <sz val="10"/>
      <name val="Arial"/>
    </font>
    <font>
      <sz val="10"/>
      <name val="Arial"/>
      <family val="2"/>
    </font>
    <font>
      <sz val="8"/>
      <name val="Arial"/>
      <family val="2"/>
    </font>
    <font>
      <sz val="10"/>
      <color indexed="8"/>
      <name val="Arial"/>
      <family val="2"/>
    </font>
    <font>
      <sz val="10"/>
      <color indexed="10"/>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4"/>
      <name val="Arial"/>
      <family val="2"/>
    </font>
    <font>
      <b/>
      <sz val="13"/>
      <color indexed="54"/>
      <name val="Arial"/>
      <family val="2"/>
    </font>
    <font>
      <b/>
      <sz val="11"/>
      <color indexed="54"/>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sz val="18"/>
      <color indexed="54"/>
      <name val="Calibri Light"/>
      <family val="2"/>
    </font>
    <font>
      <b/>
      <sz val="10"/>
      <color indexed="8"/>
      <name val="Arial"/>
      <family val="2"/>
    </font>
    <font>
      <sz val="8"/>
      <color theme="1"/>
      <name val="Calibri"/>
      <family val="2"/>
      <scheme val="minor"/>
    </font>
    <font>
      <b/>
      <sz val="8"/>
      <name val="Arial"/>
      <family val="2"/>
    </font>
    <font>
      <i/>
      <sz val="8"/>
      <name val="Arial"/>
      <family val="2"/>
    </font>
    <font>
      <i/>
      <sz val="8"/>
      <color indexed="8"/>
      <name val="Arial"/>
      <family val="2"/>
    </font>
    <font>
      <sz val="8"/>
      <color indexed="10"/>
      <name val="Arial"/>
      <family val="2"/>
    </font>
    <font>
      <sz val="8"/>
      <color rgb="FFFF0000"/>
      <name val="Calibri"/>
      <family val="2"/>
      <scheme val="minor"/>
    </font>
    <font>
      <sz val="8"/>
      <name val="Calibri"/>
      <family val="2"/>
      <scheme val="minor"/>
    </font>
    <font>
      <sz val="8"/>
      <color rgb="FFFF0000"/>
      <name val="Arial"/>
      <family val="2"/>
    </font>
    <font>
      <sz val="9"/>
      <color indexed="81"/>
      <name val="Tahoma"/>
      <charset val="1"/>
    </font>
    <font>
      <b/>
      <sz val="9"/>
      <color indexed="81"/>
      <name val="Tahoma"/>
      <charset val="1"/>
    </font>
    <font>
      <sz val="9"/>
      <color indexed="81"/>
      <name val="Tahoma"/>
      <family val="2"/>
    </font>
  </fonts>
  <fills count="24">
    <fill>
      <patternFill patternType="none"/>
    </fill>
    <fill>
      <patternFill patternType="gray125"/>
    </fill>
    <fill>
      <patternFill patternType="solid">
        <fgColor indexed="31"/>
      </patternFill>
    </fill>
    <fill>
      <patternFill patternType="solid">
        <fgColor indexed="47"/>
      </patternFill>
    </fill>
    <fill>
      <patternFill patternType="solid">
        <fgColor indexed="9"/>
      </patternFill>
    </fill>
    <fill>
      <patternFill patternType="solid">
        <fgColor indexed="26"/>
      </patternFill>
    </fill>
    <fill>
      <patternFill patternType="solid">
        <fgColor indexed="27"/>
      </patternFill>
    </fill>
    <fill>
      <patternFill patternType="solid">
        <fgColor indexed="42"/>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5"/>
      </patternFill>
    </fill>
    <fill>
      <patternFill patternType="solid">
        <fgColor indexed="51"/>
      </patternFill>
    </fill>
    <fill>
      <patternFill patternType="solid">
        <fgColor indexed="45"/>
      </patternFill>
    </fill>
    <fill>
      <patternFill patternType="solid">
        <fgColor indexed="22"/>
        <bgColor indexed="64"/>
      </patternFill>
    </fill>
    <fill>
      <patternFill patternType="solid">
        <fgColor indexed="46"/>
        <bgColor indexed="64"/>
      </patternFill>
    </fill>
    <fill>
      <patternFill patternType="solid">
        <fgColor indexed="13"/>
        <bgColor indexed="64"/>
      </patternFill>
    </fill>
    <fill>
      <patternFill patternType="solid">
        <fgColor indexed="15"/>
        <bgColor indexed="64"/>
      </patternFill>
    </fill>
    <fill>
      <patternFill patternType="solid">
        <fgColor indexed="41"/>
        <bgColor indexed="64"/>
      </patternFill>
    </fill>
    <fill>
      <patternFill patternType="solid">
        <fgColor theme="0" tint="-0.34998626667073579"/>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4"/>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1"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8" borderId="0" applyNumberFormat="0" applyBorder="0" applyAlignment="0" applyProtection="0"/>
    <xf numFmtId="0" fontId="4"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7" fillId="17" borderId="0" applyNumberFormat="0" applyBorder="0" applyAlignment="0" applyProtection="0"/>
    <xf numFmtId="0" fontId="8" fillId="9" borderId="1" applyNumberFormat="0" applyAlignment="0" applyProtection="0"/>
    <xf numFmtId="0" fontId="9" fillId="15" borderId="2" applyNumberFormat="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3" borderId="1" applyNumberFormat="0" applyAlignment="0" applyProtection="0"/>
    <xf numFmtId="0" fontId="16" fillId="0" borderId="6" applyNumberFormat="0" applyFill="0" applyAlignment="0" applyProtection="0"/>
    <xf numFmtId="0" fontId="17" fillId="10" borderId="0" applyNumberFormat="0" applyBorder="0" applyAlignment="0" applyProtection="0"/>
    <xf numFmtId="0" fontId="2" fillId="5" borderId="7" applyNumberFormat="0" applyFont="0" applyAlignment="0" applyProtection="0"/>
    <xf numFmtId="0" fontId="18" fillId="9"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5" fillId="0" borderId="0" applyNumberFormat="0" applyFill="0" applyBorder="0" applyAlignment="0" applyProtection="0"/>
  </cellStyleXfs>
  <cellXfs count="56">
    <xf numFmtId="0" fontId="0" fillId="0" borderId="0" xfId="0"/>
    <xf numFmtId="0" fontId="3" fillId="0" borderId="0" xfId="0" applyFont="1" applyAlignment="1">
      <alignment vertical="center"/>
    </xf>
    <xf numFmtId="165" fontId="3" fillId="0" borderId="0" xfId="0" applyNumberFormat="1" applyFont="1" applyAlignment="1">
      <alignment vertical="center"/>
    </xf>
    <xf numFmtId="2" fontId="3" fillId="0" borderId="0" xfId="0" applyNumberFormat="1" applyFont="1" applyAlignment="1">
      <alignment vertical="center"/>
    </xf>
    <xf numFmtId="0" fontId="21" fillId="0" borderId="0" xfId="0" applyFont="1" applyAlignment="1">
      <alignment vertical="center"/>
    </xf>
    <xf numFmtId="2" fontId="21" fillId="0" borderId="0" xfId="0" applyNumberFormat="1" applyFont="1" applyAlignment="1">
      <alignment vertical="center"/>
    </xf>
    <xf numFmtId="0" fontId="21" fillId="0" borderId="0" xfId="0" applyFont="1"/>
    <xf numFmtId="0" fontId="3" fillId="19" borderId="0" xfId="0" applyFont="1" applyFill="1" applyAlignment="1">
      <alignment vertical="center"/>
    </xf>
    <xf numFmtId="0" fontId="22" fillId="18" borderId="0" xfId="0" applyFont="1" applyFill="1" applyAlignment="1">
      <alignment vertical="center"/>
    </xf>
    <xf numFmtId="0" fontId="3" fillId="18" borderId="0" xfId="0" applyFont="1" applyFill="1" applyAlignment="1">
      <alignment vertical="center"/>
    </xf>
    <xf numFmtId="165" fontId="3" fillId="18" borderId="0" xfId="0" applyNumberFormat="1" applyFont="1" applyFill="1" applyAlignment="1">
      <alignment vertical="center"/>
    </xf>
    <xf numFmtId="2" fontId="3" fillId="18" borderId="0" xfId="0" applyNumberFormat="1" applyFont="1" applyFill="1" applyAlignment="1">
      <alignment vertical="center"/>
    </xf>
    <xf numFmtId="0" fontId="21" fillId="18" borderId="0" xfId="0" applyFont="1" applyFill="1" applyAlignment="1">
      <alignment vertical="center"/>
    </xf>
    <xf numFmtId="0" fontId="23" fillId="0" borderId="0" xfId="0" applyFont="1" applyAlignment="1">
      <alignment horizontal="right" vertical="center"/>
    </xf>
    <xf numFmtId="0" fontId="23" fillId="0" borderId="0" xfId="0" applyFont="1" applyAlignment="1">
      <alignment vertical="center"/>
    </xf>
    <xf numFmtId="2" fontId="23" fillId="0" borderId="0" xfId="0" applyNumberFormat="1" applyFont="1" applyAlignment="1">
      <alignment horizontal="right" vertical="center"/>
    </xf>
    <xf numFmtId="0" fontId="24" fillId="0" borderId="0" xfId="0" applyFont="1" applyAlignment="1">
      <alignment horizontal="right" vertical="center"/>
    </xf>
    <xf numFmtId="2" fontId="21" fillId="20" borderId="0" xfId="0" applyNumberFormat="1" applyFont="1" applyFill="1" applyAlignment="1">
      <alignment vertical="center"/>
    </xf>
    <xf numFmtId="167" fontId="21" fillId="0" borderId="0" xfId="0" applyNumberFormat="1" applyFont="1" applyAlignment="1">
      <alignment vertical="center"/>
    </xf>
    <xf numFmtId="1" fontId="21" fillId="0" borderId="0" xfId="0" applyNumberFormat="1" applyFont="1" applyAlignment="1">
      <alignment vertical="center"/>
    </xf>
    <xf numFmtId="1" fontId="3" fillId="0" borderId="0" xfId="0" applyNumberFormat="1" applyFont="1" applyAlignment="1">
      <alignment vertical="center"/>
    </xf>
    <xf numFmtId="166" fontId="3" fillId="0" borderId="0" xfId="0" applyNumberFormat="1" applyFont="1" applyAlignment="1">
      <alignment vertical="center"/>
    </xf>
    <xf numFmtId="166" fontId="3" fillId="21" borderId="0" xfId="0" applyNumberFormat="1" applyFont="1" applyFill="1" applyAlignment="1">
      <alignment vertical="center"/>
    </xf>
    <xf numFmtId="2" fontId="23" fillId="0" borderId="0" xfId="0" applyNumberFormat="1" applyFont="1" applyAlignment="1">
      <alignment vertical="center"/>
    </xf>
    <xf numFmtId="166" fontId="3" fillId="22" borderId="0" xfId="0" applyNumberFormat="1" applyFont="1" applyFill="1" applyAlignment="1">
      <alignment vertical="center"/>
    </xf>
    <xf numFmtId="165" fontId="21" fillId="0" borderId="0" xfId="0" applyNumberFormat="1" applyFont="1" applyAlignment="1">
      <alignment vertical="center"/>
    </xf>
    <xf numFmtId="0" fontId="3" fillId="22" borderId="0" xfId="0" applyFont="1" applyFill="1" applyAlignment="1">
      <alignment vertical="center"/>
    </xf>
    <xf numFmtId="0" fontId="3" fillId="21" borderId="0" xfId="0" applyFont="1" applyFill="1" applyAlignment="1">
      <alignment vertical="center"/>
    </xf>
    <xf numFmtId="167" fontId="3" fillId="0" borderId="0" xfId="0" applyNumberFormat="1" applyFont="1" applyAlignment="1">
      <alignment vertical="center"/>
    </xf>
    <xf numFmtId="164" fontId="3" fillId="0" borderId="0" xfId="0" applyNumberFormat="1" applyFont="1" applyAlignment="1">
      <alignment vertical="center"/>
    </xf>
    <xf numFmtId="165" fontId="25" fillId="0" borderId="0" xfId="0" applyNumberFormat="1" applyFont="1" applyAlignment="1">
      <alignment vertical="center"/>
    </xf>
    <xf numFmtId="2" fontId="25" fillId="0" borderId="0" xfId="0" applyNumberFormat="1" applyFont="1" applyAlignment="1">
      <alignment vertical="center"/>
    </xf>
    <xf numFmtId="0" fontId="3" fillId="23" borderId="0" xfId="0" applyFont="1" applyFill="1" applyAlignment="1">
      <alignment vertical="center"/>
    </xf>
    <xf numFmtId="0" fontId="21" fillId="23" borderId="0" xfId="0" applyFont="1" applyFill="1" applyAlignment="1">
      <alignment vertical="center"/>
    </xf>
    <xf numFmtId="2" fontId="21" fillId="23" borderId="0" xfId="0" applyNumberFormat="1" applyFont="1" applyFill="1" applyAlignment="1">
      <alignment vertical="center"/>
    </xf>
    <xf numFmtId="2" fontId="3" fillId="23" borderId="0" xfId="0" applyNumberFormat="1" applyFont="1" applyFill="1" applyAlignment="1">
      <alignment vertical="center"/>
    </xf>
    <xf numFmtId="0" fontId="21" fillId="23" borderId="0" xfId="0" applyFont="1" applyFill="1"/>
    <xf numFmtId="0" fontId="3" fillId="23" borderId="0" xfId="0" applyFont="1" applyFill="1" applyAlignment="1">
      <alignment horizontal="center" vertical="center"/>
    </xf>
    <xf numFmtId="165" fontId="3" fillId="23" borderId="0" xfId="0" applyNumberFormat="1" applyFont="1" applyFill="1" applyAlignment="1">
      <alignment vertical="center"/>
    </xf>
    <xf numFmtId="1" fontId="21" fillId="23" borderId="0" xfId="0" applyNumberFormat="1" applyFont="1" applyFill="1" applyAlignment="1">
      <alignment vertical="center"/>
    </xf>
    <xf numFmtId="2" fontId="25" fillId="23" borderId="0" xfId="0" applyNumberFormat="1" applyFont="1" applyFill="1" applyAlignment="1">
      <alignment vertical="center"/>
    </xf>
    <xf numFmtId="2" fontId="21" fillId="0" borderId="0" xfId="0" applyNumberFormat="1" applyFont="1" applyFill="1" applyAlignment="1">
      <alignment vertical="center"/>
    </xf>
    <xf numFmtId="167" fontId="21" fillId="0" borderId="0" xfId="0" applyNumberFormat="1" applyFont="1" applyFill="1" applyAlignment="1">
      <alignment vertical="center"/>
    </xf>
    <xf numFmtId="0" fontId="21" fillId="0" borderId="0" xfId="0" applyFont="1" applyFill="1" applyAlignment="1">
      <alignment vertical="center"/>
    </xf>
    <xf numFmtId="2" fontId="3" fillId="0" borderId="0" xfId="0" applyNumberFormat="1" applyFont="1" applyFill="1" applyAlignment="1">
      <alignment vertical="center"/>
    </xf>
    <xf numFmtId="167" fontId="3" fillId="0" borderId="0" xfId="0" applyNumberFormat="1" applyFont="1" applyFill="1" applyAlignment="1">
      <alignment vertical="center"/>
    </xf>
    <xf numFmtId="2" fontId="26" fillId="0" borderId="0" xfId="0" applyNumberFormat="1" applyFont="1" applyAlignment="1">
      <alignment vertical="center"/>
    </xf>
    <xf numFmtId="0" fontId="27" fillId="0" borderId="0" xfId="0" applyFont="1" applyAlignment="1">
      <alignment vertical="center"/>
    </xf>
    <xf numFmtId="2" fontId="28" fillId="0" borderId="0" xfId="0" applyNumberFormat="1" applyFont="1" applyAlignment="1">
      <alignment vertical="center"/>
    </xf>
    <xf numFmtId="2" fontId="27" fillId="0" borderId="0" xfId="0" applyNumberFormat="1" applyFont="1" applyAlignment="1">
      <alignment vertical="center"/>
    </xf>
    <xf numFmtId="167" fontId="27" fillId="0" borderId="0" xfId="0" applyNumberFormat="1" applyFont="1" applyAlignment="1">
      <alignment vertical="center"/>
    </xf>
    <xf numFmtId="1" fontId="27" fillId="0" borderId="0" xfId="0" applyNumberFormat="1" applyFont="1" applyAlignment="1">
      <alignment vertical="center"/>
    </xf>
    <xf numFmtId="2" fontId="27" fillId="0" borderId="0" xfId="0" applyNumberFormat="1" applyFont="1" applyFill="1" applyAlignment="1">
      <alignment vertical="center"/>
    </xf>
    <xf numFmtId="167" fontId="27" fillId="0" borderId="0" xfId="0" applyNumberFormat="1" applyFont="1" applyFill="1" applyAlignment="1">
      <alignment vertical="center"/>
    </xf>
    <xf numFmtId="0" fontId="3" fillId="0" borderId="0" xfId="0" applyFont="1" applyFill="1" applyAlignment="1">
      <alignment vertical="center"/>
    </xf>
    <xf numFmtId="0" fontId="3" fillId="0" borderId="0" xfId="0" applyFont="1" applyAlignment="1">
      <alignment horizontal="center" vertical="center"/>
    </xf>
  </cellXfs>
  <cellStyles count="43">
    <cellStyle name="20% - Accent1 2" xfId="2" xr:uid="{8547414F-CC2C-46BF-8494-F0BE1FBA4522}"/>
    <cellStyle name="20% - Accent2 2" xfId="3" xr:uid="{69E74D6F-E239-4281-AABD-14A59F70150D}"/>
    <cellStyle name="20% - Accent3 2" xfId="4" xr:uid="{67854A00-3B71-47D0-965C-9A1D94FD0629}"/>
    <cellStyle name="20% - Accent4 2" xfId="5" xr:uid="{ACCDFB68-1CB7-4B04-AC7B-FB79454C1C01}"/>
    <cellStyle name="20% - Accent5 2" xfId="6" xr:uid="{0B388A99-4F9E-4A1E-B3D0-1CFCF896D8FB}"/>
    <cellStyle name="20% - Accent6 2" xfId="7" xr:uid="{43BD75E7-6B82-44EB-BD1B-E3ABB3FDFFF6}"/>
    <cellStyle name="40% - Accent1 2" xfId="8" xr:uid="{17AE7077-6F32-4D4B-B23F-23BBD8BDB0DE}"/>
    <cellStyle name="40% - Accent2 2" xfId="9" xr:uid="{D7818336-2AEA-4774-AA22-CDFF092A7556}"/>
    <cellStyle name="40% - Accent3 2" xfId="10" xr:uid="{5CB37DC5-F577-422C-AB50-F4A7014F7FCB}"/>
    <cellStyle name="40% - Accent4 2" xfId="11" xr:uid="{54DC0D9F-925C-4F6A-973B-96DD504C8CCA}"/>
    <cellStyle name="40% - Accent5 2" xfId="12" xr:uid="{4A757528-685D-4898-B373-C544F045B2C0}"/>
    <cellStyle name="40% - Accent6 2" xfId="13" xr:uid="{EE6AF09D-1563-4CD7-970F-3811CBB76AFB}"/>
    <cellStyle name="60% - Accent1 2" xfId="14" xr:uid="{3E6D9D64-8454-4F6D-A68D-901A2D20A332}"/>
    <cellStyle name="60% - Accent2 2" xfId="15" xr:uid="{ECF215A6-689D-4AF8-90F8-8FC31174C1EF}"/>
    <cellStyle name="60% - Accent3 2" xfId="16" xr:uid="{5DDC295C-7194-4959-94E9-04C34D23B5A6}"/>
    <cellStyle name="60% - Accent4 2" xfId="17" xr:uid="{C84AEB1F-42F5-401C-A1BD-8B48212D29F5}"/>
    <cellStyle name="60% - Accent5 2" xfId="18" xr:uid="{59AF9486-9523-459F-8665-C0CD8FD1B0DF}"/>
    <cellStyle name="60% - Accent6 2" xfId="19" xr:uid="{1E9764C2-BE69-4E4B-B913-A6978E760A41}"/>
    <cellStyle name="Accent1 2" xfId="20" xr:uid="{508D5CFA-E0D0-44C1-9377-59F56A2C726A}"/>
    <cellStyle name="Accent2 2" xfId="21" xr:uid="{124B9372-3C0B-4A80-84D1-C07B5AFD7FC9}"/>
    <cellStyle name="Accent3 2" xfId="22" xr:uid="{353778B7-B191-4AB4-87E7-D502A41361F0}"/>
    <cellStyle name="Accent4 2" xfId="23" xr:uid="{F144D906-31B9-40E3-A8FF-B8CE56418175}"/>
    <cellStyle name="Accent5 2" xfId="24" xr:uid="{FB0EA92B-9545-42FB-B47A-50CF8500CB30}"/>
    <cellStyle name="Accent6 2" xfId="25" xr:uid="{F43884C2-F3C3-47C7-B4A1-8106A5C5F668}"/>
    <cellStyle name="Bad 2" xfId="26" xr:uid="{A1E67576-2649-452A-9A14-A2894918B8EB}"/>
    <cellStyle name="Calculation 2" xfId="27" xr:uid="{57C81A57-8B7F-4D7C-A46C-CDA065D7C8D9}"/>
    <cellStyle name="Check Cell 2" xfId="28" xr:uid="{79CDE2FD-9F58-4C4B-892D-22E6FEF2FD62}"/>
    <cellStyle name="Explanatory Text 2" xfId="29" xr:uid="{50B43F42-8440-423B-B310-F2FFDED5D788}"/>
    <cellStyle name="Good 2" xfId="30" xr:uid="{BB53370B-5108-4367-8CA3-13968939008F}"/>
    <cellStyle name="Heading 1 2" xfId="31" xr:uid="{B79F011E-6CE6-4D51-A3C8-3CB3A321F291}"/>
    <cellStyle name="Heading 2 2" xfId="32" xr:uid="{6006A32B-D1C1-4622-BD3A-D6407D6C98E1}"/>
    <cellStyle name="Heading 3 2" xfId="33" xr:uid="{96CD383D-5BA0-4F5B-A214-FAB0A5EC6C1A}"/>
    <cellStyle name="Heading 4 2" xfId="34" xr:uid="{A5EE5D1E-D40F-4E1E-BF80-8346ED0304C5}"/>
    <cellStyle name="Input 2" xfId="35" xr:uid="{8FDAE09D-C12E-422F-8E26-F721686C9E87}"/>
    <cellStyle name="Linked Cell 2" xfId="36" xr:uid="{D8077692-5F38-4541-A957-C967D081DA2B}"/>
    <cellStyle name="Neutral 2" xfId="37" xr:uid="{C868E6F6-C601-47D5-92FD-FA9BBF84C417}"/>
    <cellStyle name="Normal" xfId="0" builtinId="0"/>
    <cellStyle name="Normal 2" xfId="1" xr:uid="{D79EF3B4-1480-4F27-891B-B228F58D21F4}"/>
    <cellStyle name="Note 2" xfId="38" xr:uid="{BFBAD087-571A-405E-B328-30E57C738D89}"/>
    <cellStyle name="Output 2" xfId="39" xr:uid="{2543BAD7-9EDF-41D7-A6BB-6556A84C3E4A}"/>
    <cellStyle name="Title 2" xfId="40" xr:uid="{7D405E88-2441-4304-8207-DCCF96B80369}"/>
    <cellStyle name="Total 2" xfId="41" xr:uid="{6442A81B-6904-43C9-ADC9-1CA4DC22AFAF}"/>
    <cellStyle name="Warning Text 2" xfId="42" xr:uid="{5E5B5B90-0E68-45E5-B61D-80AE5FBCE3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Sheet1!$AP$4:$AP$5</c:f>
              <c:strCache>
                <c:ptCount val="2"/>
              </c:strCache>
            </c:strRef>
          </c:tx>
          <c:spPr>
            <a:ln w="19050" cap="rnd">
              <a:noFill/>
              <a:round/>
            </a:ln>
            <a:effectLst/>
          </c:spPr>
          <c:marker>
            <c:symbol val="circle"/>
            <c:size val="5"/>
            <c:spPr>
              <a:solidFill>
                <a:schemeClr val="accent1"/>
              </a:solidFill>
              <a:ln w="9525">
                <a:solidFill>
                  <a:schemeClr val="accent1"/>
                </a:solidFill>
              </a:ln>
              <a:effectLst/>
            </c:spPr>
          </c:marker>
          <c:xVal>
            <c:numRef>
              <c:f>Sheet1!$AF$6:$AF$118</c:f>
              <c:numCache>
                <c:formatCode>General</c:formatCode>
                <c:ptCount val="113"/>
                <c:pt idx="0" formatCode="0.00">
                  <c:v>2274.5002089952</c:v>
                </c:pt>
                <c:pt idx="23" formatCode="0.00">
                  <c:v>2183.619436292</c:v>
                </c:pt>
                <c:pt idx="46" formatCode="0.00">
                  <c:v>2422.1787343850001</c:v>
                </c:pt>
                <c:pt idx="58" formatCode="0.00">
                  <c:v>2313.26809542</c:v>
                </c:pt>
                <c:pt idx="76" formatCode="0.00">
                  <c:v>2115.87194782289</c:v>
                </c:pt>
                <c:pt idx="77">
                  <c:v>2077</c:v>
                </c:pt>
                <c:pt idx="94" formatCode="0.00">
                  <c:v>2101.4982584999998</c:v>
                </c:pt>
              </c:numCache>
            </c:numRef>
          </c:xVal>
          <c:yVal>
            <c:numRef>
              <c:f>Sheet1!$AP$6:$AP$118</c:f>
              <c:numCache>
                <c:formatCode>General</c:formatCode>
                <c:ptCount val="113"/>
                <c:pt idx="0">
                  <c:v>1.20813796893</c:v>
                </c:pt>
                <c:pt idx="23">
                  <c:v>1.1610813945030001</c:v>
                </c:pt>
                <c:pt idx="46">
                  <c:v>1.1252978206799999</c:v>
                </c:pt>
                <c:pt idx="58">
                  <c:v>1.2413273745085001</c:v>
                </c:pt>
                <c:pt idx="76">
                  <c:v>1.03113856221975</c:v>
                </c:pt>
                <c:pt idx="94">
                  <c:v>0.96783914394655202</c:v>
                </c:pt>
              </c:numCache>
            </c:numRef>
          </c:yVal>
          <c:smooth val="0"/>
          <c:extLst>
            <c:ext xmlns:c16="http://schemas.microsoft.com/office/drawing/2014/chart" uri="{C3380CC4-5D6E-409C-BE32-E72D297353CC}">
              <c16:uniqueId val="{00000000-21E6-477A-A8E6-9BCD63696850}"/>
            </c:ext>
          </c:extLst>
        </c:ser>
        <c:dLbls>
          <c:showLegendKey val="0"/>
          <c:showVal val="0"/>
          <c:showCatName val="0"/>
          <c:showSerName val="0"/>
          <c:showPercent val="0"/>
          <c:showBubbleSize val="0"/>
        </c:dLbls>
        <c:axId val="668255264"/>
        <c:axId val="453180232"/>
      </c:scatterChart>
      <c:valAx>
        <c:axId val="668255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(kg/m3)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80232"/>
        <c:crosses val="autoZero"/>
        <c:crossBetween val="midCat"/>
      </c:valAx>
      <c:valAx>
        <c:axId val="45318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5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Sheet1!$AP$4:$AP$5</c:f>
              <c:strCache>
                <c:ptCount val="2"/>
              </c:strCache>
            </c:strRef>
          </c:tx>
          <c:spPr>
            <a:ln w="25400" cap="rnd">
              <a:noFill/>
              <a:round/>
            </a:ln>
            <a:effectLst/>
          </c:spPr>
          <c:marker>
            <c:symbol val="circle"/>
            <c:size val="5"/>
            <c:spPr>
              <a:solidFill>
                <a:schemeClr val="accent1"/>
              </a:solidFill>
              <a:ln w="9525">
                <a:solidFill>
                  <a:schemeClr val="accent1"/>
                </a:solidFill>
              </a:ln>
              <a:effectLst/>
            </c:spPr>
          </c:marker>
          <c:xVal>
            <c:numRef>
              <c:f>Sheet1!$AF$6:$AF$118</c:f>
              <c:numCache>
                <c:formatCode>General</c:formatCode>
                <c:ptCount val="113"/>
                <c:pt idx="0" formatCode="0.00">
                  <c:v>2274.5002089952</c:v>
                </c:pt>
                <c:pt idx="23" formatCode="0.00">
                  <c:v>2183.619436292</c:v>
                </c:pt>
                <c:pt idx="46" formatCode="0.00">
                  <c:v>2422.1787343850001</c:v>
                </c:pt>
                <c:pt idx="58" formatCode="0.00">
                  <c:v>2313.26809542</c:v>
                </c:pt>
                <c:pt idx="76" formatCode="0.00">
                  <c:v>2115.87194782289</c:v>
                </c:pt>
                <c:pt idx="77">
                  <c:v>2077</c:v>
                </c:pt>
                <c:pt idx="94" formatCode="0.00">
                  <c:v>2101.4982584999998</c:v>
                </c:pt>
              </c:numCache>
            </c:numRef>
          </c:xVal>
          <c:yVal>
            <c:numRef>
              <c:f>Sheet1!$AR$6:$AR$118</c:f>
              <c:numCache>
                <c:formatCode>General</c:formatCode>
                <c:ptCount val="113"/>
                <c:pt idx="0">
                  <c:v>3.9819156245921001</c:v>
                </c:pt>
                <c:pt idx="23">
                  <c:v>4.1945930281155004</c:v>
                </c:pt>
                <c:pt idx="46">
                  <c:v>4.3735108983000002</c:v>
                </c:pt>
                <c:pt idx="58">
                  <c:v>3.9081613899000001</c:v>
                </c:pt>
                <c:pt idx="76">
                  <c:v>4.8536359677087502</c:v>
                </c:pt>
                <c:pt idx="94">
                  <c:v>5.1608042848090001</c:v>
                </c:pt>
              </c:numCache>
            </c:numRef>
          </c:yVal>
          <c:smooth val="0"/>
          <c:extLst>
            <c:ext xmlns:c16="http://schemas.microsoft.com/office/drawing/2014/chart" uri="{C3380CC4-5D6E-409C-BE32-E72D297353CC}">
              <c16:uniqueId val="{00000000-7609-47C9-9387-CD92CD91AF70}"/>
            </c:ext>
          </c:extLst>
        </c:ser>
        <c:dLbls>
          <c:showLegendKey val="0"/>
          <c:showVal val="0"/>
          <c:showCatName val="0"/>
          <c:showSerName val="0"/>
          <c:showPercent val="0"/>
          <c:showBubbleSize val="0"/>
        </c:dLbls>
        <c:axId val="668255264"/>
        <c:axId val="453180232"/>
      </c:scatterChart>
      <c:valAx>
        <c:axId val="668255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(kg/m3)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80232"/>
        <c:crosses val="autoZero"/>
        <c:crossBetween val="midCat"/>
      </c:valAx>
      <c:valAx>
        <c:axId val="45318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 (km/s)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5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45</xdr:col>
      <xdr:colOff>0</xdr:colOff>
      <xdr:row>1</xdr:row>
      <xdr:rowOff>133350</xdr:rowOff>
    </xdr:from>
    <xdr:to>
      <xdr:col>51</xdr:col>
      <xdr:colOff>209550</xdr:colOff>
      <xdr:row>20</xdr:row>
      <xdr:rowOff>114300</xdr:rowOff>
    </xdr:to>
    <xdr:graphicFrame macro="">
      <xdr:nvGraphicFramePr>
        <xdr:cNvPr id="5" name="Chart 4">
          <a:extLst>
            <a:ext uri="{FF2B5EF4-FFF2-40B4-BE49-F238E27FC236}">
              <a16:creationId xmlns:a16="http://schemas.microsoft.com/office/drawing/2014/main" id="{D24EB479-F374-44A3-8A50-A0BD37ABB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314325</xdr:colOff>
      <xdr:row>21</xdr:row>
      <xdr:rowOff>47625</xdr:rowOff>
    </xdr:from>
    <xdr:to>
      <xdr:col>51</xdr:col>
      <xdr:colOff>161925</xdr:colOff>
      <xdr:row>41</xdr:row>
      <xdr:rowOff>76200</xdr:rowOff>
    </xdr:to>
    <xdr:graphicFrame macro="">
      <xdr:nvGraphicFramePr>
        <xdr:cNvPr id="6" name="Chart 5">
          <a:extLst>
            <a:ext uri="{FF2B5EF4-FFF2-40B4-BE49-F238E27FC236}">
              <a16:creationId xmlns:a16="http://schemas.microsoft.com/office/drawing/2014/main" id="{330D3970-F21F-4222-900E-80E590AD1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rik davies" id="{65B051AA-0F07-4FFA-B2FA-7B8040C4783D}" userId="8b867e6a6c36785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F1" dT="2020-06-03T18:13:23.52" personId="{65B051AA-0F07-4FFA-B2FA-7B8040C4783D}" id="{F7D1FD9B-0713-40B6-A14D-9C5E18776AE8}">
    <text>Liquid densities come about from averages of experiments so each flyer velocity has a liquid density calulated</text>
  </threadedComment>
  <threadedComment ref="AH1" dT="2020-06-10T00:44:47.93" personId="{65B051AA-0F07-4FFA-B2FA-7B8040C4783D}" id="{854D7614-D751-44D1-BB84-A4EBFDAC5344}">
    <text>Us from the liquid forsterite striking the window</text>
  </threadedComment>
  <threadedComment ref="G5" dT="2020-06-03T20:43:15.24" personId="{65B051AA-0F07-4FFA-B2FA-7B8040C4783D}" id="{3BDD6754-BCDF-4A68-81DF-2E6A10B0D40F}">
    <text>May be legetimately slower. This can sometimes happen on top and bottom of the sample plate. Should probably just flag this entire sample</text>
  </threadedComment>
  <threadedComment ref="B50" dT="2020-06-03T22:30:55.15" personId="{65B051AA-0F07-4FFA-B2FA-7B8040C4783D}" id="{C133311B-716B-44FE-9462-83FABD6048BA}">
    <text>N01 and N04 have extraordinarily difficult breakout signals to see. So if the data doesn't make sense (read the shock density) this is why. There is uncertainty to where the breakout is for all slow shots, so this is something we need to consider for the future.</text>
  </threadedComment>
  <threadedComment ref="AF82" dT="2020-07-06T20:23:23.03" personId="{65B051AA-0F07-4FFA-B2FA-7B8040C4783D}" id="{E98390F8-1D65-4655-9C51-FB99C1841D7E}">
    <text>Calculated from the fitted S and C</text>
  </threadedComment>
  <threadedComment ref="AP82" dT="2020-07-06T20:18:44.07" personId="{65B051AA-0F07-4FFA-B2FA-7B8040C4783D}" id="{CFF626B8-5D62-4E03-9FC9-27671437B77D}">
    <text>These parameters are fit</text>
  </threadedComment>
  <threadedComment ref="AF83" dT="2020-07-06T20:38:58.50" personId="{65B051AA-0F07-4FFA-B2FA-7B8040C4783D}" id="{E8290501-1754-4F40-ADF8-8D42604DDBC9}">
    <text>Predicted from us v. Density</text>
  </threadedComment>
  <threadedComment ref="Q96" dT="2020-07-06T20:28:45.55" personId="{65B051AA-0F07-4FFA-B2FA-7B8040C4783D}" id="{D627FDD5-6FE1-4F4A-8F04-039694D00EE2}">
    <text>From modeled density. V Large sigma</text>
  </threadedComment>
  <threadedComment ref="K111" dT="2020-06-10T22:07:42.54" personId="{65B051AA-0F07-4FFA-B2FA-7B8040C4783D}" id="{06D4768E-BBBF-4395-8651-F8628D43E184}">
    <text>From a transit time, flagging for now</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19"/>
  <sheetViews>
    <sheetView tabSelected="1" workbookViewId="0">
      <pane ySplit="1" topLeftCell="A71" activePane="bottomLeft" state="frozen"/>
      <selection pane="bottomLeft" activeCell="AG89" sqref="AG89"/>
    </sheetView>
  </sheetViews>
  <sheetFormatPr defaultRowHeight="11.25" x14ac:dyDescent="0.2"/>
  <cols>
    <col min="1" max="1" width="4.85546875" style="6" customWidth="1"/>
    <col min="2" max="2" width="3.85546875" style="6" customWidth="1"/>
    <col min="3" max="3" width="8.42578125" style="6" customWidth="1"/>
    <col min="4" max="4" width="15.5703125" style="6" customWidth="1"/>
    <col min="5" max="5" width="7.7109375" style="6" customWidth="1"/>
    <col min="6" max="6" width="4.85546875" style="6" customWidth="1"/>
    <col min="7" max="7" width="9.7109375" style="6" customWidth="1"/>
    <col min="8" max="8" width="4.7109375" style="6" customWidth="1"/>
    <col min="9" max="9" width="6.5703125" style="6" customWidth="1"/>
    <col min="10" max="10" width="4.42578125" style="6" customWidth="1"/>
    <col min="11" max="11" width="7.7109375" style="6" customWidth="1"/>
    <col min="12" max="12" width="5" style="6" customWidth="1"/>
    <col min="13" max="13" width="7.42578125" style="6" customWidth="1"/>
    <col min="14" max="14" width="4.5703125" style="6" customWidth="1"/>
    <col min="15" max="15" width="6.28515625" style="6" customWidth="1"/>
    <col min="16" max="16" width="4.28515625" style="6" customWidth="1"/>
    <col min="17" max="17" width="8.140625" style="6" customWidth="1"/>
    <col min="18" max="18" width="4.7109375" style="6" customWidth="1"/>
    <col min="19" max="19" width="8.28515625" style="6" customWidth="1"/>
    <col min="20" max="20" width="5.5703125" style="6" customWidth="1"/>
    <col min="21" max="21" width="6.7109375" style="6" customWidth="1"/>
    <col min="22" max="22" width="9.140625" style="6"/>
    <col min="23" max="23" width="6" style="6" customWidth="1"/>
    <col min="24" max="24" width="0.7109375" style="36" customWidth="1"/>
    <col min="25" max="25" width="7.5703125" style="6" customWidth="1"/>
    <col min="26" max="26" width="4" style="6" customWidth="1"/>
    <col min="27" max="27" width="8" style="6" customWidth="1"/>
    <col min="28" max="28" width="4.5703125" style="6" customWidth="1"/>
    <col min="29" max="29" width="4.85546875" style="6" customWidth="1"/>
    <col min="30" max="30" width="4.28515625" style="6" customWidth="1"/>
    <col min="31" max="31" width="0.5703125" style="36" customWidth="1"/>
    <col min="32" max="32" width="10.28515625" style="6" customWidth="1"/>
    <col min="33" max="33" width="7.5703125" style="6" customWidth="1"/>
    <col min="34" max="34" width="13.42578125" style="6" customWidth="1"/>
    <col min="35" max="35" width="5.140625" style="6" customWidth="1"/>
    <col min="36" max="36" width="14" style="6" customWidth="1"/>
    <col min="37" max="37" width="4.85546875" style="6" customWidth="1"/>
    <col min="38" max="38" width="10.140625" style="6" customWidth="1"/>
    <col min="39" max="39" width="5.42578125" style="6" customWidth="1"/>
    <col min="40" max="40" width="10.42578125" style="6" customWidth="1"/>
    <col min="41" max="41" width="6.5703125" style="6" customWidth="1"/>
    <col min="42" max="42" width="4.85546875" style="6" customWidth="1"/>
    <col min="43" max="16384" width="9.140625" style="6"/>
  </cols>
  <sheetData>
    <row r="1" spans="1:45" x14ac:dyDescent="0.2">
      <c r="A1" s="1"/>
      <c r="B1" s="1"/>
      <c r="C1" s="1"/>
      <c r="D1" s="1"/>
      <c r="E1" s="2" t="s">
        <v>0</v>
      </c>
      <c r="F1" s="2" t="s">
        <v>1</v>
      </c>
      <c r="G1" s="1" t="s">
        <v>2</v>
      </c>
      <c r="H1" s="1" t="s">
        <v>1</v>
      </c>
      <c r="I1" s="1" t="s">
        <v>3</v>
      </c>
      <c r="J1" s="1" t="s">
        <v>1</v>
      </c>
      <c r="K1" s="1" t="s">
        <v>4</v>
      </c>
      <c r="L1" s="3" t="s">
        <v>1</v>
      </c>
      <c r="M1" s="1" t="s">
        <v>5</v>
      </c>
      <c r="N1" s="3" t="s">
        <v>1</v>
      </c>
      <c r="O1" s="1" t="s">
        <v>6</v>
      </c>
      <c r="P1" s="3" t="s">
        <v>1</v>
      </c>
      <c r="Q1" s="1" t="s">
        <v>7</v>
      </c>
      <c r="R1" s="1" t="s">
        <v>1</v>
      </c>
      <c r="S1" s="1" t="s">
        <v>8</v>
      </c>
      <c r="T1" s="1" t="s">
        <v>1</v>
      </c>
      <c r="U1" s="4"/>
      <c r="V1" s="1" t="s">
        <v>50</v>
      </c>
      <c r="W1" s="1" t="s">
        <v>1</v>
      </c>
      <c r="X1" s="32"/>
      <c r="Y1" s="1" t="s">
        <v>41</v>
      </c>
      <c r="Z1" s="3" t="s">
        <v>1</v>
      </c>
      <c r="AA1" s="1" t="s">
        <v>42</v>
      </c>
      <c r="AB1" s="3" t="s">
        <v>1</v>
      </c>
      <c r="AC1" s="1" t="s">
        <v>43</v>
      </c>
      <c r="AD1" s="1" t="s">
        <v>1</v>
      </c>
      <c r="AE1" s="32"/>
      <c r="AF1" s="1" t="s">
        <v>47</v>
      </c>
      <c r="AG1" s="1" t="s">
        <v>1</v>
      </c>
      <c r="AH1" s="1" t="s">
        <v>48</v>
      </c>
      <c r="AI1" s="3" t="s">
        <v>1</v>
      </c>
      <c r="AJ1" s="1" t="s">
        <v>49</v>
      </c>
      <c r="AK1" s="3" t="s">
        <v>1</v>
      </c>
      <c r="AL1" s="1" t="s">
        <v>44</v>
      </c>
      <c r="AM1" s="1" t="s">
        <v>1</v>
      </c>
      <c r="AN1" s="1" t="s">
        <v>45</v>
      </c>
      <c r="AO1" s="1" t="s">
        <v>1</v>
      </c>
      <c r="AP1" s="6" t="s">
        <v>39</v>
      </c>
      <c r="AQ1" s="1" t="s">
        <v>1</v>
      </c>
      <c r="AR1" s="6" t="s">
        <v>46</v>
      </c>
      <c r="AS1" s="1" t="s">
        <v>1</v>
      </c>
    </row>
    <row r="2" spans="1:45" ht="15" customHeight="1" x14ac:dyDescent="0.2">
      <c r="A2" s="1"/>
      <c r="B2" s="1"/>
      <c r="C2" s="1"/>
      <c r="D2" s="1"/>
      <c r="E2" s="2"/>
      <c r="F2" s="2"/>
      <c r="G2" s="1"/>
      <c r="H2" s="1"/>
      <c r="I2" s="1"/>
      <c r="J2" s="1"/>
      <c r="K2" s="1"/>
      <c r="L2" s="3"/>
      <c r="M2" s="1"/>
      <c r="N2" s="1"/>
      <c r="O2" s="1"/>
      <c r="P2" s="1"/>
      <c r="Q2" s="1"/>
      <c r="R2" s="1"/>
      <c r="S2" s="1"/>
      <c r="T2" s="1"/>
      <c r="U2" s="4"/>
      <c r="V2" s="1"/>
      <c r="W2" s="1"/>
      <c r="X2" s="32"/>
      <c r="Y2" s="55" t="s">
        <v>40</v>
      </c>
      <c r="Z2" s="55"/>
      <c r="AA2" s="55"/>
      <c r="AB2" s="55"/>
      <c r="AC2" s="55"/>
      <c r="AD2" s="55"/>
      <c r="AE2" s="37"/>
      <c r="AF2" s="55" t="s">
        <v>9</v>
      </c>
      <c r="AG2" s="55"/>
      <c r="AH2" s="55"/>
      <c r="AI2" s="55"/>
      <c r="AJ2" s="55"/>
      <c r="AK2" s="55"/>
      <c r="AL2" s="55"/>
      <c r="AM2" s="55"/>
      <c r="AN2" s="55"/>
      <c r="AO2" s="55"/>
      <c r="AP2" s="55"/>
      <c r="AQ2" s="55"/>
    </row>
    <row r="3" spans="1:45" x14ac:dyDescent="0.2">
      <c r="A3" s="8">
        <v>2792</v>
      </c>
      <c r="B3" s="9"/>
      <c r="C3" s="9"/>
      <c r="D3" s="9"/>
      <c r="E3" s="10"/>
      <c r="F3" s="10"/>
      <c r="G3" s="9"/>
      <c r="H3" s="9"/>
      <c r="I3" s="9"/>
      <c r="J3" s="9"/>
      <c r="K3" s="9"/>
      <c r="L3" s="11"/>
      <c r="M3" s="9"/>
      <c r="N3" s="9"/>
      <c r="O3" s="9"/>
      <c r="P3" s="9"/>
      <c r="Q3" s="9"/>
      <c r="R3" s="9"/>
      <c r="S3" s="9"/>
      <c r="T3" s="9"/>
      <c r="U3" s="4"/>
      <c r="V3" s="12"/>
      <c r="W3" s="12"/>
      <c r="X3" s="33"/>
      <c r="Y3" s="10"/>
      <c r="Z3" s="10"/>
      <c r="AA3" s="10"/>
      <c r="AB3" s="10"/>
      <c r="AC3" s="12"/>
      <c r="AD3" s="12"/>
      <c r="AE3" s="38"/>
      <c r="AF3" s="10"/>
      <c r="AG3" s="10"/>
      <c r="AH3" s="10"/>
      <c r="AI3" s="10"/>
      <c r="AJ3" s="10"/>
      <c r="AK3" s="12"/>
      <c r="AL3" s="12"/>
      <c r="AM3" s="12"/>
      <c r="AN3" s="12"/>
      <c r="AO3" s="12"/>
      <c r="AP3" s="12"/>
      <c r="AQ3" s="12"/>
      <c r="AR3" s="12"/>
      <c r="AS3" s="12"/>
    </row>
    <row r="4" spans="1:45" x14ac:dyDescent="0.2">
      <c r="A4" s="1"/>
      <c r="B4" s="1" t="s">
        <v>10</v>
      </c>
      <c r="C4" s="1" t="s">
        <v>11</v>
      </c>
      <c r="D4" s="1"/>
      <c r="E4" s="2"/>
      <c r="F4" s="2"/>
      <c r="G4" s="13"/>
      <c r="H4" s="14"/>
      <c r="I4" s="14"/>
      <c r="J4" s="14"/>
      <c r="K4" s="13"/>
      <c r="L4" s="15"/>
      <c r="M4" s="16"/>
      <c r="N4" s="13"/>
      <c r="O4" s="13"/>
      <c r="P4" s="13"/>
      <c r="Q4" s="14"/>
      <c r="R4" s="1"/>
      <c r="S4" s="14"/>
      <c r="T4" s="1"/>
      <c r="U4" s="4"/>
      <c r="V4" s="4"/>
      <c r="W4" s="5"/>
      <c r="X4" s="34"/>
      <c r="Y4" s="2"/>
      <c r="Z4" s="2"/>
      <c r="AA4" s="2"/>
      <c r="AB4" s="2"/>
      <c r="AC4" s="4"/>
      <c r="AD4" s="5"/>
      <c r="AE4" s="38"/>
      <c r="AF4" s="3"/>
      <c r="AG4" s="2"/>
      <c r="AH4" s="2"/>
      <c r="AI4" s="2"/>
      <c r="AJ4" s="2"/>
      <c r="AK4" s="4"/>
      <c r="AL4" s="5"/>
    </row>
    <row r="5" spans="1:45" x14ac:dyDescent="0.2">
      <c r="A5" s="1"/>
      <c r="B5" s="1"/>
      <c r="C5" s="1"/>
      <c r="D5" s="7" t="s">
        <v>12</v>
      </c>
      <c r="E5" s="2">
        <v>0.35039999999999999</v>
      </c>
      <c r="F5" s="2">
        <v>1.6828547174370112E-3</v>
      </c>
      <c r="G5" s="17">
        <v>14.677999999999999</v>
      </c>
      <c r="H5" s="17">
        <v>0.69163222589125573</v>
      </c>
      <c r="I5" s="5"/>
      <c r="J5" s="5"/>
      <c r="K5" s="5">
        <v>14.375876098328158</v>
      </c>
      <c r="L5" s="5">
        <v>0.13454530584898416</v>
      </c>
      <c r="M5" s="5">
        <v>6.9645000000000001</v>
      </c>
      <c r="N5" s="5">
        <v>0.40429999999999999</v>
      </c>
      <c r="O5" s="18">
        <v>322.88749999999999</v>
      </c>
      <c r="P5" s="18">
        <v>18.8385</v>
      </c>
      <c r="Q5" s="19">
        <v>8874.5</v>
      </c>
      <c r="R5" s="20">
        <v>398</v>
      </c>
      <c r="S5" s="19">
        <v>4618</v>
      </c>
      <c r="T5" s="19">
        <v>464</v>
      </c>
      <c r="U5" s="4"/>
      <c r="V5" s="5">
        <v>6273.4</v>
      </c>
      <c r="W5" s="5">
        <v>357</v>
      </c>
      <c r="X5" s="34"/>
      <c r="Y5" s="3"/>
      <c r="Z5" s="3"/>
      <c r="AA5" s="3"/>
      <c r="AB5" s="3"/>
      <c r="AC5" s="5"/>
      <c r="AD5" s="5"/>
      <c r="AE5" s="35"/>
      <c r="AF5" s="3"/>
      <c r="AG5" s="3"/>
      <c r="AH5" s="3"/>
      <c r="AI5" s="3"/>
      <c r="AJ5" s="3"/>
      <c r="AK5" s="5"/>
      <c r="AL5" s="5"/>
    </row>
    <row r="6" spans="1:45" x14ac:dyDescent="0.2">
      <c r="A6" s="1"/>
      <c r="B6" s="1"/>
      <c r="C6" s="1"/>
      <c r="D6" s="21" t="s">
        <v>13</v>
      </c>
      <c r="E6" s="2">
        <v>0.50229999999999997</v>
      </c>
      <c r="F6" s="2">
        <v>9.9179971096318882E-3</v>
      </c>
      <c r="G6" s="4"/>
      <c r="H6" s="4"/>
      <c r="I6" s="5">
        <v>15.295953713219898</v>
      </c>
      <c r="J6" s="5">
        <v>0.31587990483377415</v>
      </c>
      <c r="K6" s="4"/>
      <c r="L6" s="5"/>
      <c r="M6" s="4"/>
      <c r="N6" s="4"/>
      <c r="O6" s="18"/>
      <c r="P6" s="18"/>
      <c r="Q6" s="19"/>
      <c r="R6" s="20"/>
      <c r="S6" s="19"/>
      <c r="T6" s="19"/>
      <c r="U6" s="1"/>
      <c r="V6" s="5"/>
      <c r="W6" s="5"/>
      <c r="X6" s="34"/>
      <c r="Y6" s="5">
        <f>AVERAGE(I11,I16,I21)</f>
        <v>15.465228547387996</v>
      </c>
      <c r="Z6" s="5">
        <f>((J11^2/9)+(J16^2/9)+(J21^2/9) + STDEV(I11,I16,I21)^2)^(1/2)</f>
        <v>0.18886394019996605</v>
      </c>
      <c r="AA6" s="5">
        <f>K12</f>
        <v>13.62</v>
      </c>
      <c r="AB6" s="5">
        <f>L12</f>
        <v>0.05</v>
      </c>
      <c r="AC6" s="5">
        <f>AVERAGE(K17,K22)</f>
        <v>15.870000000000001</v>
      </c>
      <c r="AD6" s="5">
        <f>((L17^2/4)+(L22^2/4)+ STDEV(K17,K22)^2)^(1/2)</f>
        <v>7.0178344238091217E-2</v>
      </c>
      <c r="AE6" s="34"/>
      <c r="AF6" s="3">
        <v>2274.5002089952</v>
      </c>
      <c r="AG6" s="5">
        <v>293.70637358649998</v>
      </c>
      <c r="AH6" s="5">
        <v>13.9484057918924</v>
      </c>
      <c r="AI6" s="5">
        <v>2.3731426338900001</v>
      </c>
      <c r="AJ6" s="5">
        <v>10.649596391299999</v>
      </c>
      <c r="AK6" s="3">
        <v>1.37537513983</v>
      </c>
      <c r="AL6" s="3">
        <v>5584.5823407999997</v>
      </c>
      <c r="AM6" s="6">
        <v>1365.57840839</v>
      </c>
      <c r="AN6" s="6">
        <v>4691.0798007800004</v>
      </c>
      <c r="AO6" s="6">
        <v>808.53853000000004</v>
      </c>
      <c r="AP6" s="6">
        <v>1.20813796893</v>
      </c>
      <c r="AQ6" s="6">
        <v>0.43437514468999999</v>
      </c>
      <c r="AR6" s="6">
        <v>3.9819156245921001</v>
      </c>
      <c r="AS6" s="6">
        <v>1.2483128995999999</v>
      </c>
    </row>
    <row r="7" spans="1:45" x14ac:dyDescent="0.2">
      <c r="A7" s="1"/>
      <c r="B7" s="1"/>
      <c r="C7" s="1"/>
      <c r="D7" s="22" t="s">
        <v>14</v>
      </c>
      <c r="E7" s="2">
        <v>1.0399</v>
      </c>
      <c r="F7" s="2">
        <v>3.8078865529315352E-4</v>
      </c>
      <c r="G7" s="4"/>
      <c r="H7" s="4"/>
      <c r="I7" s="4"/>
      <c r="J7" s="4"/>
      <c r="K7" s="3">
        <v>15.72</v>
      </c>
      <c r="L7" s="3">
        <v>0.1</v>
      </c>
      <c r="M7" s="41">
        <v>9.9233431284569793</v>
      </c>
      <c r="N7" s="41">
        <v>9.0021296304290996E-2</v>
      </c>
      <c r="O7" s="42">
        <v>129.98747050039501</v>
      </c>
      <c r="P7" s="42">
        <v>1.9512222167163999</v>
      </c>
      <c r="Q7" s="19"/>
      <c r="R7" s="4"/>
      <c r="S7" s="19"/>
      <c r="T7" s="19"/>
      <c r="U7" s="4"/>
      <c r="V7" s="3">
        <v>2258.389666</v>
      </c>
      <c r="W7" s="3">
        <v>21.022678776806998</v>
      </c>
      <c r="X7" s="35"/>
      <c r="Y7" s="3"/>
      <c r="Z7" s="3"/>
      <c r="AA7" s="3"/>
      <c r="AB7" s="3"/>
      <c r="AC7" s="3"/>
      <c r="AD7" s="3"/>
      <c r="AE7" s="33"/>
      <c r="AF7" s="4"/>
      <c r="AG7" s="3"/>
      <c r="AH7" s="3"/>
      <c r="AI7" s="3"/>
      <c r="AJ7" s="3"/>
      <c r="AK7" s="3"/>
      <c r="AL7" s="3"/>
    </row>
    <row r="8" spans="1:45" x14ac:dyDescent="0.2">
      <c r="A8" s="1"/>
      <c r="B8" s="1"/>
      <c r="C8" s="1"/>
      <c r="D8" s="21"/>
      <c r="E8" s="2"/>
      <c r="F8" s="2"/>
      <c r="G8" s="1"/>
      <c r="H8" s="1"/>
      <c r="I8" s="1"/>
      <c r="J8" s="1"/>
      <c r="K8" s="3"/>
      <c r="L8" s="3"/>
      <c r="M8" s="43"/>
      <c r="N8" s="43"/>
      <c r="O8" s="42"/>
      <c r="P8" s="42"/>
      <c r="Q8" s="19"/>
      <c r="R8" s="4"/>
      <c r="S8" s="19"/>
      <c r="T8" s="19"/>
      <c r="U8" s="4"/>
      <c r="V8" s="5"/>
      <c r="W8" s="5"/>
      <c r="X8" s="34"/>
      <c r="Y8" s="3" t="s">
        <v>62</v>
      </c>
      <c r="Z8" s="3"/>
      <c r="AA8" s="3"/>
      <c r="AB8" s="3"/>
      <c r="AC8" s="5"/>
      <c r="AD8" s="5"/>
      <c r="AE8" s="33"/>
      <c r="AF8" s="3"/>
      <c r="AG8" s="3"/>
      <c r="AH8" s="3"/>
      <c r="AI8" s="3"/>
      <c r="AJ8" s="3"/>
      <c r="AK8" s="5"/>
      <c r="AL8" s="5"/>
    </row>
    <row r="9" spans="1:45" x14ac:dyDescent="0.2">
      <c r="A9" s="4"/>
      <c r="B9" s="1" t="s">
        <v>15</v>
      </c>
      <c r="C9" s="1" t="s">
        <v>11</v>
      </c>
      <c r="D9" s="21"/>
      <c r="E9" s="2"/>
      <c r="F9" s="2"/>
      <c r="G9" s="14"/>
      <c r="H9" s="14"/>
      <c r="I9" s="14"/>
      <c r="J9" s="14"/>
      <c r="K9" s="14"/>
      <c r="L9" s="23"/>
      <c r="M9" s="43"/>
      <c r="N9" s="43"/>
      <c r="O9" s="42"/>
      <c r="P9" s="42"/>
      <c r="Q9" s="14"/>
      <c r="R9" s="1"/>
      <c r="S9" s="19"/>
      <c r="T9" s="19"/>
      <c r="U9" s="4"/>
      <c r="V9" s="5"/>
      <c r="W9" s="5"/>
      <c r="X9" s="34"/>
      <c r="Y9" s="3">
        <f>AVERAGE(K5,K10,K15,K20)</f>
        <v>14.556040544057147</v>
      </c>
      <c r="Z9" s="5">
        <f>((L5^2/16)+(L10^2/16)+(L15^2/16)+(L20^2/16)+ STDEV(K5,K10,K15,K20)^2)^(1/2)</f>
        <v>0.20766521382842792</v>
      </c>
      <c r="AA9" s="3"/>
      <c r="AB9" s="3"/>
      <c r="AC9" s="5"/>
      <c r="AD9" s="5"/>
      <c r="AE9" s="33"/>
      <c r="AF9" s="3"/>
      <c r="AG9" s="3"/>
      <c r="AH9" s="3"/>
      <c r="AI9" s="3"/>
      <c r="AJ9" s="3"/>
      <c r="AK9" s="5"/>
      <c r="AL9" s="5"/>
    </row>
    <row r="10" spans="1:45" x14ac:dyDescent="0.2">
      <c r="A10" s="1"/>
      <c r="B10" s="1"/>
      <c r="C10" s="1"/>
      <c r="D10" s="7" t="s">
        <v>12</v>
      </c>
      <c r="E10" s="2">
        <v>0.35020000000000001</v>
      </c>
      <c r="F10" s="2">
        <v>1.2660963628413049E-3</v>
      </c>
      <c r="G10" s="5">
        <v>14.689633333333333</v>
      </c>
      <c r="H10" s="5">
        <v>3.3823118326572636E-2</v>
      </c>
      <c r="I10" s="5"/>
      <c r="J10" s="5"/>
      <c r="K10" s="5">
        <v>14.500534833166562</v>
      </c>
      <c r="L10" s="5">
        <v>0.19240162275042533</v>
      </c>
      <c r="M10" s="41">
        <v>6.9488000000000003</v>
      </c>
      <c r="N10" s="41">
        <v>4.2799999999999998E-2</v>
      </c>
      <c r="O10" s="42">
        <v>324.35919999999999</v>
      </c>
      <c r="P10" s="42">
        <v>2.7</v>
      </c>
      <c r="Q10" s="19">
        <v>9113</v>
      </c>
      <c r="R10" s="20">
        <v>496</v>
      </c>
      <c r="S10" s="19">
        <v>4662</v>
      </c>
      <c r="T10" s="19">
        <v>462</v>
      </c>
      <c r="U10" s="4"/>
      <c r="V10" s="5">
        <v>6187</v>
      </c>
      <c r="W10" s="5">
        <v>106</v>
      </c>
      <c r="X10" s="34"/>
      <c r="Y10" s="3"/>
      <c r="Z10" s="3"/>
      <c r="AA10" s="3"/>
      <c r="AB10" s="3"/>
      <c r="AC10" s="5"/>
      <c r="AD10" s="5"/>
      <c r="AE10" s="33"/>
      <c r="AF10" s="3"/>
      <c r="AG10" s="3"/>
      <c r="AH10" s="3" t="s">
        <v>51</v>
      </c>
      <c r="AI10" s="3"/>
      <c r="AJ10" s="3"/>
      <c r="AK10" s="5"/>
      <c r="AL10" s="5"/>
    </row>
    <row r="11" spans="1:45" x14ac:dyDescent="0.2">
      <c r="A11" s="1"/>
      <c r="B11" s="1"/>
      <c r="C11" s="1"/>
      <c r="D11" s="21" t="s">
        <v>13</v>
      </c>
      <c r="E11" s="2">
        <v>0.49680000000000002</v>
      </c>
      <c r="F11" s="2">
        <v>4.9506733548747191E-3</v>
      </c>
      <c r="G11" s="4"/>
      <c r="H11" s="4"/>
      <c r="I11" s="5">
        <v>15.517322158307067</v>
      </c>
      <c r="J11" s="5">
        <v>0.2466858216124807</v>
      </c>
      <c r="K11" s="4"/>
      <c r="L11" s="4"/>
      <c r="M11" s="43"/>
      <c r="N11" s="43"/>
      <c r="O11" s="43"/>
      <c r="P11" s="43"/>
      <c r="Q11" s="19"/>
      <c r="R11" s="20"/>
      <c r="S11" s="4"/>
      <c r="T11" s="19"/>
      <c r="U11" s="4"/>
      <c r="V11" s="4"/>
      <c r="W11" s="4"/>
      <c r="X11" s="33"/>
      <c r="Y11" s="5"/>
      <c r="Z11" s="5"/>
      <c r="AA11" s="5"/>
      <c r="AB11" s="5"/>
      <c r="AC11" s="3"/>
      <c r="AD11" s="3"/>
      <c r="AE11" s="34"/>
      <c r="AF11" s="3"/>
      <c r="AG11" s="5"/>
      <c r="AH11" s="5" t="s">
        <v>58</v>
      </c>
      <c r="AI11" s="5"/>
      <c r="AJ11" s="5"/>
      <c r="AK11" s="3"/>
      <c r="AL11" s="3"/>
    </row>
    <row r="12" spans="1:45" x14ac:dyDescent="0.2">
      <c r="A12" s="1"/>
      <c r="B12" s="1"/>
      <c r="C12" s="1"/>
      <c r="D12" s="24" t="s">
        <v>16</v>
      </c>
      <c r="E12" s="2">
        <v>1.5437000000000001</v>
      </c>
      <c r="F12" s="2">
        <v>1.1760102040374099E-3</v>
      </c>
      <c r="G12" s="4"/>
      <c r="H12" s="4"/>
      <c r="I12" s="4"/>
      <c r="J12" s="4"/>
      <c r="K12" s="3">
        <v>13.62</v>
      </c>
      <c r="L12" s="3">
        <v>0.05</v>
      </c>
      <c r="M12" s="41">
        <v>7.2917527103367998</v>
      </c>
      <c r="N12" s="41">
        <v>9.3312872971170302E-2</v>
      </c>
      <c r="O12" s="42">
        <v>263.101384251963</v>
      </c>
      <c r="P12" s="42">
        <v>3.8593165842416002</v>
      </c>
      <c r="Q12" s="1"/>
      <c r="R12" s="1"/>
      <c r="S12" s="19"/>
      <c r="T12" s="19"/>
      <c r="U12" s="4"/>
      <c r="V12" s="3">
        <v>5705.1807122629998</v>
      </c>
      <c r="W12" s="3">
        <v>81.472685369277798</v>
      </c>
      <c r="X12" s="35"/>
      <c r="Y12" s="5"/>
      <c r="Z12" s="5"/>
      <c r="AA12" s="5"/>
      <c r="AB12" s="5"/>
      <c r="AC12" s="5"/>
      <c r="AD12" s="5"/>
      <c r="AE12" s="33"/>
      <c r="AF12" s="4"/>
      <c r="AG12" s="5"/>
      <c r="AH12" s="5" t="s">
        <v>59</v>
      </c>
      <c r="AI12" s="5"/>
      <c r="AJ12" s="5"/>
      <c r="AK12" s="5"/>
      <c r="AL12" s="5"/>
    </row>
    <row r="13" spans="1:45" x14ac:dyDescent="0.2">
      <c r="A13" s="1"/>
      <c r="B13" s="1"/>
      <c r="C13" s="1"/>
      <c r="D13" s="21"/>
      <c r="E13" s="2"/>
      <c r="F13" s="2"/>
      <c r="G13" s="14"/>
      <c r="H13" s="14"/>
      <c r="I13" s="14"/>
      <c r="J13" s="14"/>
      <c r="K13" s="3"/>
      <c r="L13" s="3"/>
      <c r="M13" s="43"/>
      <c r="N13" s="43"/>
      <c r="O13" s="42"/>
      <c r="P13" s="42"/>
      <c r="Q13" s="1"/>
      <c r="R13" s="1"/>
      <c r="S13" s="19"/>
      <c r="T13" s="19"/>
      <c r="U13" s="4"/>
      <c r="V13" s="5"/>
      <c r="W13" s="5"/>
      <c r="X13" s="34"/>
      <c r="Y13" s="3"/>
      <c r="Z13" s="3"/>
      <c r="AA13" s="3"/>
      <c r="AB13" s="3"/>
      <c r="AC13" s="5"/>
      <c r="AD13" s="5"/>
      <c r="AE13" s="33"/>
      <c r="AF13" s="3"/>
      <c r="AG13" s="3"/>
      <c r="AH13" s="3"/>
      <c r="AI13" s="3"/>
      <c r="AJ13" s="3"/>
      <c r="AK13" s="5"/>
      <c r="AL13" s="5"/>
    </row>
    <row r="14" spans="1:45" x14ac:dyDescent="0.2">
      <c r="A14" s="1"/>
      <c r="B14" s="1" t="s">
        <v>17</v>
      </c>
      <c r="C14" s="1" t="s">
        <v>11</v>
      </c>
      <c r="D14" s="21"/>
      <c r="E14" s="2"/>
      <c r="F14" s="2"/>
      <c r="G14" s="14"/>
      <c r="H14" s="14"/>
      <c r="I14" s="14"/>
      <c r="J14" s="14"/>
      <c r="K14" s="14"/>
      <c r="L14" s="23"/>
      <c r="M14" s="43"/>
      <c r="N14" s="43"/>
      <c r="O14" s="42"/>
      <c r="P14" s="42"/>
      <c r="Q14" s="14"/>
      <c r="R14" s="1"/>
      <c r="S14" s="19"/>
      <c r="T14" s="19"/>
      <c r="U14" s="4"/>
      <c r="V14" s="5"/>
      <c r="W14" s="5"/>
      <c r="X14" s="34"/>
      <c r="Y14" s="4"/>
      <c r="Z14" s="4"/>
      <c r="AA14" s="4"/>
      <c r="AB14" s="4"/>
      <c r="AC14" s="4"/>
      <c r="AD14" s="4"/>
      <c r="AE14" s="33"/>
      <c r="AF14" s="5"/>
      <c r="AG14" s="4"/>
      <c r="AH14" s="4"/>
      <c r="AI14" s="4"/>
      <c r="AJ14" s="4"/>
      <c r="AK14" s="4"/>
      <c r="AL14" s="4"/>
    </row>
    <row r="15" spans="1:45" x14ac:dyDescent="0.2">
      <c r="A15" s="1"/>
      <c r="B15" s="1"/>
      <c r="C15" s="1"/>
      <c r="D15" s="7" t="s">
        <v>12</v>
      </c>
      <c r="E15" s="2">
        <v>0.35199999999999998</v>
      </c>
      <c r="F15" s="2">
        <v>2.2501111083677644E-3</v>
      </c>
      <c r="G15" s="5">
        <v>14.690833333333332</v>
      </c>
      <c r="H15" s="5">
        <v>2.4816190951339554E-2</v>
      </c>
      <c r="I15" s="5"/>
      <c r="J15" s="5"/>
      <c r="K15" s="5">
        <v>14.557034004321602</v>
      </c>
      <c r="L15" s="5">
        <v>0.20274007825534782</v>
      </c>
      <c r="M15" s="41">
        <v>6.9363999999999999</v>
      </c>
      <c r="N15" s="41">
        <v>4.3099999999999999E-2</v>
      </c>
      <c r="O15" s="42">
        <v>325.166</v>
      </c>
      <c r="P15" s="42">
        <v>2.7873000000000001</v>
      </c>
      <c r="Q15" s="19">
        <v>9239.7900000000009</v>
      </c>
      <c r="R15" s="20">
        <v>511</v>
      </c>
      <c r="S15" s="19">
        <v>4685</v>
      </c>
      <c r="T15" s="19">
        <v>464</v>
      </c>
      <c r="U15" s="4"/>
      <c r="V15" s="5">
        <v>6153.8</v>
      </c>
      <c r="W15" s="5">
        <v>110.51</v>
      </c>
      <c r="X15" s="34"/>
      <c r="Y15" s="3"/>
      <c r="Z15" s="3"/>
      <c r="AA15" s="3"/>
      <c r="AB15" s="3"/>
      <c r="AC15" s="5"/>
      <c r="AD15" s="5"/>
      <c r="AE15" s="33"/>
      <c r="AF15" s="3"/>
      <c r="AG15" s="3"/>
      <c r="AH15" s="3"/>
      <c r="AI15" s="3"/>
      <c r="AJ15" s="3"/>
      <c r="AK15" s="5"/>
      <c r="AL15" s="5"/>
    </row>
    <row r="16" spans="1:45" x14ac:dyDescent="0.2">
      <c r="A16" s="1"/>
      <c r="B16" s="1"/>
      <c r="C16" s="1"/>
      <c r="D16" s="21" t="s">
        <v>18</v>
      </c>
      <c r="E16" s="2">
        <v>0.2036</v>
      </c>
      <c r="F16" s="2">
        <v>4.0356742518031126E-3</v>
      </c>
      <c r="G16" s="4"/>
      <c r="H16" s="4"/>
      <c r="I16" s="5">
        <v>15.451555780419946</v>
      </c>
      <c r="J16" s="5">
        <v>0.45185180523514312</v>
      </c>
      <c r="K16" s="4"/>
      <c r="L16" s="4"/>
      <c r="M16" s="43"/>
      <c r="N16" s="43"/>
      <c r="O16" s="43"/>
      <c r="P16" s="43"/>
      <c r="Q16" s="19"/>
      <c r="R16" s="20"/>
      <c r="S16" s="19"/>
      <c r="T16" s="19"/>
      <c r="U16" s="4"/>
      <c r="V16" s="4"/>
      <c r="W16" s="4"/>
      <c r="X16" s="33"/>
      <c r="Y16" s="5"/>
      <c r="Z16" s="5"/>
      <c r="AA16" s="5"/>
      <c r="AB16" s="5"/>
      <c r="AC16" s="3"/>
      <c r="AD16" s="3"/>
      <c r="AE16" s="34"/>
      <c r="AF16" s="3"/>
      <c r="AG16" s="5"/>
      <c r="AH16" s="5"/>
      <c r="AI16" s="5"/>
      <c r="AJ16" s="5"/>
      <c r="AK16" s="3"/>
      <c r="AL16" s="3"/>
    </row>
    <row r="17" spans="1:45" x14ac:dyDescent="0.2">
      <c r="A17" s="1"/>
      <c r="B17" s="1"/>
      <c r="C17" s="1"/>
      <c r="D17" s="22" t="s">
        <v>14</v>
      </c>
      <c r="E17" s="2">
        <v>1.0367</v>
      </c>
      <c r="F17" s="2">
        <v>1.9455076458343317E-3</v>
      </c>
      <c r="G17" s="4"/>
      <c r="H17" s="4"/>
      <c r="I17" s="4"/>
      <c r="J17" s="4"/>
      <c r="K17" s="3">
        <v>15.84</v>
      </c>
      <c r="L17" s="3">
        <v>0.05</v>
      </c>
      <c r="M17" s="41">
        <v>10.017004071989399</v>
      </c>
      <c r="N17" s="41">
        <v>6.3964257058924001E-2</v>
      </c>
      <c r="O17" s="42">
        <v>132.20853000880001</v>
      </c>
      <c r="P17" s="42">
        <v>1.21499232183619</v>
      </c>
      <c r="Q17" s="18"/>
      <c r="R17" s="19"/>
      <c r="S17" s="19"/>
      <c r="T17" s="19"/>
      <c r="U17" s="4"/>
      <c r="V17" s="3">
        <v>2267.1622749829999</v>
      </c>
      <c r="W17" s="3">
        <v>20.572516657320001</v>
      </c>
      <c r="X17" s="35"/>
      <c r="Y17" s="3"/>
      <c r="Z17" s="3"/>
      <c r="AA17" s="3"/>
      <c r="AB17" s="3"/>
      <c r="AC17" s="3"/>
      <c r="AD17" s="3"/>
      <c r="AE17" s="33"/>
      <c r="AF17" s="4"/>
      <c r="AG17" s="3"/>
      <c r="AH17" s="3"/>
      <c r="AI17" s="3"/>
      <c r="AJ17" s="3"/>
      <c r="AK17" s="3"/>
      <c r="AL17" s="3"/>
    </row>
    <row r="18" spans="1:45" x14ac:dyDescent="0.2">
      <c r="A18" s="1"/>
      <c r="B18" s="1"/>
      <c r="C18" s="1"/>
      <c r="D18" s="21"/>
      <c r="E18" s="2"/>
      <c r="F18" s="2"/>
      <c r="G18" s="1"/>
      <c r="H18" s="1"/>
      <c r="I18" s="1"/>
      <c r="J18" s="1"/>
      <c r="K18" s="3"/>
      <c r="L18" s="3"/>
      <c r="M18" s="43"/>
      <c r="N18" s="43"/>
      <c r="O18" s="42"/>
      <c r="P18" s="42"/>
      <c r="Q18" s="18"/>
      <c r="R18" s="19"/>
      <c r="S18" s="19"/>
      <c r="T18" s="19"/>
      <c r="U18" s="4"/>
      <c r="V18" s="5"/>
      <c r="W18" s="5"/>
      <c r="X18" s="34"/>
      <c r="Y18" s="3"/>
      <c r="Z18" s="3"/>
      <c r="AA18" s="3"/>
      <c r="AB18" s="3"/>
      <c r="AC18" s="5"/>
      <c r="AD18" s="5"/>
      <c r="AE18" s="33"/>
      <c r="AF18" s="3"/>
      <c r="AG18" s="3"/>
      <c r="AH18" s="3"/>
      <c r="AI18" s="3"/>
      <c r="AJ18" s="3"/>
      <c r="AK18" s="5"/>
      <c r="AL18" s="5"/>
    </row>
    <row r="19" spans="1:45" x14ac:dyDescent="0.2">
      <c r="A19" s="1"/>
      <c r="B19" s="1" t="s">
        <v>19</v>
      </c>
      <c r="C19" s="1" t="s">
        <v>11</v>
      </c>
      <c r="D19" s="21"/>
      <c r="E19" s="2"/>
      <c r="F19" s="2"/>
      <c r="G19" s="14"/>
      <c r="H19" s="14"/>
      <c r="I19" s="14"/>
      <c r="J19" s="14"/>
      <c r="K19" s="4"/>
      <c r="L19" s="4"/>
      <c r="M19" s="43"/>
      <c r="N19" s="43"/>
      <c r="O19" s="42"/>
      <c r="P19" s="42"/>
      <c r="Q19" s="14"/>
      <c r="R19" s="1"/>
      <c r="S19" s="19"/>
      <c r="T19" s="19"/>
      <c r="U19" s="4"/>
      <c r="V19" s="5"/>
      <c r="W19" s="5"/>
      <c r="X19" s="34"/>
      <c r="Y19" s="4"/>
      <c r="Z19" s="4"/>
      <c r="AA19" s="4"/>
      <c r="AB19" s="4"/>
      <c r="AC19" s="5"/>
      <c r="AD19" s="5"/>
      <c r="AE19" s="33"/>
      <c r="AF19" s="4"/>
      <c r="AG19" s="4"/>
      <c r="AH19" s="4"/>
      <c r="AI19" s="4"/>
      <c r="AJ19" s="4"/>
      <c r="AK19" s="5"/>
      <c r="AL19" s="5"/>
    </row>
    <row r="20" spans="1:45" x14ac:dyDescent="0.2">
      <c r="A20" s="1"/>
      <c r="B20" s="1"/>
      <c r="C20" s="1"/>
      <c r="D20" s="7" t="s">
        <v>12</v>
      </c>
      <c r="E20" s="2">
        <v>0.35160000000000002</v>
      </c>
      <c r="F20" s="2">
        <v>1.3386560424545283E-3</v>
      </c>
      <c r="G20" s="5">
        <v>14.719900000000001</v>
      </c>
      <c r="H20" s="5">
        <v>2.630912389267295E-2</v>
      </c>
      <c r="I20" s="5"/>
      <c r="J20" s="5"/>
      <c r="K20" s="5">
        <v>14.790717240412269</v>
      </c>
      <c r="L20" s="5">
        <v>0.33241102910980597</v>
      </c>
      <c r="M20" s="41">
        <v>6.9104000000000001</v>
      </c>
      <c r="N20" s="41">
        <v>6.7000000000000004E-2</v>
      </c>
      <c r="O20" s="42">
        <v>328.93389999999999</v>
      </c>
      <c r="P20" s="42">
        <v>4.4221000000000004</v>
      </c>
      <c r="Q20" s="19">
        <f>-183.188*K20+15.605*K20^2+2.785*K20^3</f>
        <v>9715.7640416757895</v>
      </c>
      <c r="R20" s="20">
        <v>764</v>
      </c>
      <c r="S20" s="19">
        <v>4768</v>
      </c>
      <c r="T20" s="19">
        <v>467</v>
      </c>
      <c r="U20" s="4"/>
      <c r="V20" s="5">
        <v>6054.7</v>
      </c>
      <c r="W20" s="5">
        <v>169</v>
      </c>
      <c r="X20" s="34"/>
      <c r="Y20" s="3"/>
      <c r="Z20" s="3"/>
      <c r="AA20" s="3"/>
      <c r="AB20" s="3"/>
      <c r="AC20" s="5"/>
      <c r="AD20" s="5"/>
      <c r="AE20" s="39"/>
      <c r="AF20" s="3"/>
      <c r="AG20" s="3"/>
      <c r="AH20" s="3"/>
      <c r="AI20" s="3"/>
      <c r="AJ20" s="3"/>
      <c r="AK20" s="5"/>
      <c r="AL20" s="5"/>
    </row>
    <row r="21" spans="1:45" x14ac:dyDescent="0.2">
      <c r="A21" s="1" t="s">
        <v>64</v>
      </c>
      <c r="B21" s="1"/>
      <c r="C21" s="1"/>
      <c r="D21" s="21" t="s">
        <v>20</v>
      </c>
      <c r="E21" s="2">
        <v>0.79969999999999997</v>
      </c>
      <c r="F21" s="2">
        <v>4.5581428966923352E-3</v>
      </c>
      <c r="G21" s="4"/>
      <c r="H21" s="4"/>
      <c r="I21" s="5">
        <v>15.42680770343698</v>
      </c>
      <c r="J21" s="5">
        <v>0.19054269132942775</v>
      </c>
      <c r="K21" s="4"/>
      <c r="L21" s="5"/>
      <c r="M21" s="43"/>
      <c r="N21" s="43"/>
      <c r="O21" s="42"/>
      <c r="P21" s="42"/>
      <c r="Q21" s="19"/>
      <c r="R21" s="20"/>
      <c r="S21" s="1"/>
      <c r="T21" s="1"/>
      <c r="U21" s="4"/>
      <c r="V21" s="5"/>
      <c r="W21" s="5"/>
      <c r="X21" s="34"/>
      <c r="Y21" s="5"/>
      <c r="Z21" s="5"/>
      <c r="AA21" s="5"/>
      <c r="AB21" s="5"/>
      <c r="AC21" s="3"/>
      <c r="AD21" s="3"/>
      <c r="AE21" s="34"/>
      <c r="AF21" s="3"/>
      <c r="AG21" s="5"/>
      <c r="AH21" s="5"/>
      <c r="AI21" s="5"/>
      <c r="AJ21" s="5"/>
      <c r="AK21" s="3"/>
      <c r="AL21" s="3"/>
    </row>
    <row r="22" spans="1:45" x14ac:dyDescent="0.2">
      <c r="A22" s="1"/>
      <c r="B22" s="1"/>
      <c r="C22" s="1"/>
      <c r="D22" s="22" t="s">
        <v>14</v>
      </c>
      <c r="E22" s="2">
        <v>1.0412999999999999</v>
      </c>
      <c r="F22" s="2">
        <v>2.0598543637840167E-3</v>
      </c>
      <c r="G22" s="4"/>
      <c r="H22" s="4"/>
      <c r="I22" s="4"/>
      <c r="J22" s="4"/>
      <c r="K22" s="3">
        <v>15.9</v>
      </c>
      <c r="L22" s="3">
        <v>0.1</v>
      </c>
      <c r="M22" s="41">
        <v>10.0584332041</v>
      </c>
      <c r="N22" s="41">
        <v>9.3956499753200001E-2</v>
      </c>
      <c r="O22" s="42">
        <v>133.20537432570001</v>
      </c>
      <c r="P22" s="42">
        <v>2.0646219576639999</v>
      </c>
      <c r="Q22" s="1"/>
      <c r="R22" s="1"/>
      <c r="S22" s="1"/>
      <c r="T22" s="1"/>
      <c r="U22" s="4"/>
      <c r="V22" s="3">
        <v>2269.4399230849999</v>
      </c>
      <c r="W22" s="3">
        <v>20.611989221710001</v>
      </c>
      <c r="X22" s="35"/>
      <c r="Y22" s="3"/>
      <c r="Z22" s="3"/>
      <c r="AA22" s="3"/>
      <c r="AB22" s="3"/>
      <c r="AC22" s="3"/>
      <c r="AD22" s="3"/>
      <c r="AE22" s="39"/>
      <c r="AF22" s="4"/>
      <c r="AG22" s="3"/>
      <c r="AH22" s="3"/>
      <c r="AI22" s="3"/>
      <c r="AJ22" s="3"/>
      <c r="AK22" s="3"/>
      <c r="AL22" s="3"/>
    </row>
    <row r="23" spans="1:45" x14ac:dyDescent="0.2">
      <c r="A23" s="4"/>
      <c r="B23" s="4"/>
      <c r="C23" s="4"/>
      <c r="D23" s="4"/>
      <c r="E23" s="25"/>
      <c r="F23" s="25"/>
      <c r="G23" s="4"/>
      <c r="H23" s="4"/>
      <c r="I23" s="4"/>
      <c r="J23" s="4"/>
      <c r="K23" s="4"/>
      <c r="L23" s="5"/>
      <c r="M23" s="4"/>
      <c r="N23" s="4"/>
      <c r="O23" s="4"/>
      <c r="P23" s="4"/>
      <c r="Q23" s="4"/>
      <c r="R23" s="4"/>
      <c r="S23" s="4"/>
      <c r="T23" s="4"/>
      <c r="U23" s="4"/>
      <c r="V23" s="4"/>
      <c r="W23" s="5"/>
      <c r="X23" s="34"/>
      <c r="Y23" s="4"/>
      <c r="Z23" s="4"/>
      <c r="AA23" s="4"/>
      <c r="AB23" s="4"/>
      <c r="AC23" s="4"/>
      <c r="AD23" s="5"/>
      <c r="AE23" s="33"/>
      <c r="AF23" s="4"/>
      <c r="AG23" s="4"/>
      <c r="AH23" s="4"/>
      <c r="AI23" s="4"/>
      <c r="AJ23" s="4"/>
      <c r="AK23" s="4"/>
      <c r="AL23" s="5"/>
    </row>
    <row r="24" spans="1:45" x14ac:dyDescent="0.2">
      <c r="A24" s="4"/>
      <c r="B24" s="4"/>
      <c r="C24" s="4" t="s">
        <v>63</v>
      </c>
      <c r="D24" s="4"/>
      <c r="E24" s="25"/>
      <c r="F24" s="25"/>
      <c r="H24" s="4"/>
      <c r="I24" s="4"/>
      <c r="J24" s="4"/>
      <c r="K24" s="5">
        <f>Y9</f>
        <v>14.556040544057147</v>
      </c>
      <c r="L24" s="5">
        <f>Z9</f>
        <v>0.20766521382842792</v>
      </c>
      <c r="M24" s="4">
        <v>6.9417999999999997</v>
      </c>
      <c r="N24" s="4">
        <v>4.6899999999999997E-2</v>
      </c>
      <c r="O24" s="4">
        <v>325.4511</v>
      </c>
      <c r="P24" s="4">
        <v>2.9756999999999998</v>
      </c>
      <c r="Q24" s="4">
        <v>9231.8081744707997</v>
      </c>
      <c r="R24" s="4">
        <v>529.69634539499998</v>
      </c>
      <c r="S24" s="4">
        <v>4678.8955386099997</v>
      </c>
      <c r="T24" s="4">
        <v>463.86826739999998</v>
      </c>
      <c r="U24" s="4"/>
      <c r="V24" s="4">
        <v>6157.2</v>
      </c>
      <c r="W24" s="5">
        <v>116.95699999999999</v>
      </c>
      <c r="X24" s="34"/>
      <c r="Y24" s="4"/>
      <c r="Z24" s="4"/>
      <c r="AA24" s="4"/>
      <c r="AB24" s="4"/>
      <c r="AC24" s="4"/>
      <c r="AD24" s="5"/>
      <c r="AE24" s="33"/>
      <c r="AF24" s="4"/>
      <c r="AG24" s="4"/>
      <c r="AH24" s="4"/>
      <c r="AI24" s="4"/>
      <c r="AJ24" s="4"/>
      <c r="AK24" s="4"/>
      <c r="AL24" s="5"/>
    </row>
    <row r="25" spans="1:45" x14ac:dyDescent="0.2">
      <c r="A25" s="4"/>
      <c r="B25" s="4"/>
      <c r="C25" s="4"/>
      <c r="D25" s="4"/>
      <c r="E25" s="25"/>
      <c r="F25" s="25"/>
      <c r="H25" s="4"/>
      <c r="I25" s="4"/>
      <c r="J25" s="4"/>
      <c r="K25" s="5"/>
      <c r="L25" s="5"/>
      <c r="M25" s="4"/>
      <c r="N25" s="4"/>
      <c r="O25" s="4"/>
      <c r="P25" s="4"/>
      <c r="Q25" s="19">
        <v>4078</v>
      </c>
      <c r="R25" s="4">
        <v>1084</v>
      </c>
      <c r="S25" s="4"/>
      <c r="T25" s="4"/>
      <c r="U25" s="4"/>
      <c r="V25" s="4"/>
      <c r="W25" s="5"/>
      <c r="X25" s="34"/>
      <c r="Y25" s="4"/>
      <c r="Z25" s="4"/>
      <c r="AA25" s="4"/>
      <c r="AB25" s="4"/>
      <c r="AC25" s="4"/>
      <c r="AD25" s="5"/>
      <c r="AE25" s="33"/>
      <c r="AF25" s="4"/>
      <c r="AG25" s="4"/>
      <c r="AH25" s="4"/>
      <c r="AI25" s="4"/>
      <c r="AJ25" s="4"/>
      <c r="AK25" s="4"/>
      <c r="AL25" s="5"/>
    </row>
    <row r="26" spans="1:45" x14ac:dyDescent="0.2">
      <c r="A26" s="8">
        <v>2868</v>
      </c>
      <c r="B26" s="9"/>
      <c r="C26" s="9"/>
      <c r="D26" s="9"/>
      <c r="E26" s="10"/>
      <c r="F26" s="10"/>
      <c r="G26" s="9"/>
      <c r="H26" s="9"/>
      <c r="I26" s="9"/>
      <c r="J26" s="9"/>
      <c r="K26" s="9"/>
      <c r="L26" s="11"/>
      <c r="M26" s="9"/>
      <c r="N26" s="9"/>
      <c r="O26" s="9"/>
      <c r="P26" s="9"/>
      <c r="Q26" s="9"/>
      <c r="R26" s="9"/>
      <c r="S26" s="9"/>
      <c r="T26" s="9"/>
      <c r="U26" s="4"/>
      <c r="V26" s="12"/>
      <c r="W26" s="12"/>
      <c r="X26" s="33"/>
      <c r="Y26" s="10"/>
      <c r="Z26" s="10"/>
      <c r="AA26" s="10"/>
      <c r="AB26" s="10"/>
      <c r="AC26" s="12"/>
      <c r="AD26" s="12"/>
      <c r="AE26" s="38"/>
      <c r="AF26" s="10"/>
      <c r="AG26" s="10"/>
      <c r="AH26" s="10"/>
      <c r="AI26" s="10"/>
      <c r="AJ26" s="10"/>
      <c r="AK26" s="12"/>
      <c r="AL26" s="12"/>
      <c r="AM26" s="12"/>
      <c r="AN26" s="12"/>
      <c r="AO26" s="12"/>
      <c r="AP26" s="12"/>
      <c r="AQ26" s="12"/>
      <c r="AR26" s="12"/>
      <c r="AS26" s="12"/>
    </row>
    <row r="27" spans="1:45" x14ac:dyDescent="0.2">
      <c r="A27" s="1"/>
      <c r="B27" s="1" t="s">
        <v>10</v>
      </c>
      <c r="C27" s="1" t="s">
        <v>11</v>
      </c>
      <c r="D27" s="1"/>
      <c r="E27" s="2"/>
      <c r="F27" s="2"/>
      <c r="G27" s="1"/>
      <c r="H27" s="1"/>
      <c r="I27" s="1"/>
      <c r="J27" s="1"/>
      <c r="K27" s="1"/>
      <c r="L27" s="3"/>
      <c r="M27" s="5"/>
      <c r="N27" s="5"/>
      <c r="O27" s="18"/>
      <c r="P27" s="18"/>
      <c r="Q27" s="14"/>
      <c r="R27" s="1"/>
      <c r="S27" s="14"/>
      <c r="T27" s="1"/>
      <c r="U27" s="4"/>
      <c r="V27" s="5"/>
      <c r="W27" s="5"/>
      <c r="X27" s="34"/>
      <c r="Y27" s="4"/>
      <c r="Z27" s="4"/>
      <c r="AA27" s="4"/>
      <c r="AB27" s="4"/>
      <c r="AC27" s="5"/>
      <c r="AD27" s="5"/>
      <c r="AE27" s="33"/>
      <c r="AF27" s="4"/>
      <c r="AG27" s="4"/>
      <c r="AH27" s="4"/>
      <c r="AI27" s="4"/>
      <c r="AJ27" s="4"/>
      <c r="AK27" s="5"/>
      <c r="AL27" s="5"/>
    </row>
    <row r="28" spans="1:45" x14ac:dyDescent="0.2">
      <c r="A28" s="1"/>
      <c r="B28" s="1"/>
      <c r="C28" s="1"/>
      <c r="D28" s="7" t="s">
        <v>12</v>
      </c>
      <c r="E28" s="2">
        <v>0.44131999999999999</v>
      </c>
      <c r="F28" s="2">
        <v>2.1358838919753984E-3</v>
      </c>
      <c r="G28" s="5">
        <v>15.823666666666668</v>
      </c>
      <c r="H28" s="5">
        <v>2.2647810784562451E-2</v>
      </c>
      <c r="I28" s="5"/>
      <c r="J28" s="5"/>
      <c r="K28" s="5">
        <v>15.392199035052029</v>
      </c>
      <c r="L28" s="5">
        <v>0.1403072990374746</v>
      </c>
      <c r="M28" s="5">
        <v>7.4382000000000001</v>
      </c>
      <c r="N28" s="5">
        <v>3.32E-2</v>
      </c>
      <c r="O28" s="18">
        <v>368.56</v>
      </c>
      <c r="P28" s="18">
        <v>2.2021999999999999</v>
      </c>
      <c r="Q28" s="19">
        <v>11026.2128802394</v>
      </c>
      <c r="R28" s="20">
        <v>475.15003506068302</v>
      </c>
      <c r="S28" s="19">
        <v>4960.8941241720004</v>
      </c>
      <c r="T28" s="19">
        <v>455.05468715872001</v>
      </c>
      <c r="U28" s="4"/>
      <c r="V28" s="5">
        <f>6.2337*1000</f>
        <v>6233.7</v>
      </c>
      <c r="W28" s="5">
        <f>0.076697*1000</f>
        <v>76.697000000000003</v>
      </c>
      <c r="X28" s="34"/>
      <c r="Y28" s="4"/>
      <c r="Z28" s="4"/>
      <c r="AA28" s="4"/>
      <c r="AB28" s="4"/>
      <c r="AC28" s="5"/>
      <c r="AD28" s="5"/>
      <c r="AE28" s="33"/>
      <c r="AF28" s="4"/>
      <c r="AG28" s="4"/>
      <c r="AH28" s="4"/>
      <c r="AI28" s="4"/>
      <c r="AJ28" s="4"/>
      <c r="AK28" s="5"/>
      <c r="AL28" s="5"/>
    </row>
    <row r="29" spans="1:45" x14ac:dyDescent="0.2">
      <c r="A29" s="1"/>
      <c r="B29" s="1"/>
      <c r="C29" s="1"/>
      <c r="D29" s="21" t="s">
        <v>21</v>
      </c>
      <c r="E29" s="2">
        <v>0.48707500000000004</v>
      </c>
      <c r="F29" s="2">
        <v>5.7604253315185127E-3</v>
      </c>
      <c r="G29" s="4"/>
      <c r="H29" s="4"/>
      <c r="I29" s="5">
        <v>16.378691924003846</v>
      </c>
      <c r="J29" s="5">
        <v>0.21407036343963526</v>
      </c>
      <c r="K29" s="4"/>
      <c r="L29" s="4"/>
      <c r="M29" s="4"/>
      <c r="N29" s="4"/>
      <c r="O29" s="4"/>
      <c r="P29" s="4"/>
      <c r="Q29" s="19"/>
      <c r="R29" s="20"/>
      <c r="S29" s="19"/>
      <c r="T29" s="19"/>
      <c r="U29" s="4"/>
      <c r="V29" s="4"/>
      <c r="W29" s="4"/>
      <c r="X29" s="33"/>
      <c r="Y29" s="5">
        <f>AVERAGE(I29,I34,I39,I44)</f>
        <v>16.426685487352835</v>
      </c>
      <c r="Z29" s="5">
        <f>((J29^2/16)+(J34^2/16)+(J39^2/16)+(J44^2/16)+ STDEV(I29,I34,I39,I44)^2)^(1/2)</f>
        <v>0.22074062083378718</v>
      </c>
      <c r="AA29" s="5">
        <f>K35</f>
        <v>14.05</v>
      </c>
      <c r="AB29" s="5">
        <f>L35</f>
        <v>0.05</v>
      </c>
      <c r="AC29" s="5">
        <f>AVERAGE(K30,K40,K45)</f>
        <v>16.493333333333336</v>
      </c>
      <c r="AD29" s="5">
        <f>((L30^2/9)+(L40^2/9)+(L45^2/9)+ STDEV(K30,K40,K45)^2)^(1/2)</f>
        <v>0.10274023338281764</v>
      </c>
      <c r="AE29" s="34"/>
      <c r="AF29" s="3">
        <v>2183.619436292</v>
      </c>
      <c r="AG29" s="5">
        <v>318.08623464131699</v>
      </c>
      <c r="AH29" s="5">
        <v>14.495809145799999</v>
      </c>
      <c r="AI29" s="5">
        <v>2.8925674781000001</v>
      </c>
      <c r="AJ29" s="5">
        <v>11.117866653604001</v>
      </c>
      <c r="AK29" s="3">
        <v>1.7165466998000001</v>
      </c>
      <c r="AL29" s="3">
        <v>5661.28071765</v>
      </c>
      <c r="AM29" s="6">
        <v>1311.6057591849999</v>
      </c>
      <c r="AN29" s="6">
        <v>4701.9002815399999</v>
      </c>
      <c r="AO29" s="6">
        <v>749.03840171726404</v>
      </c>
      <c r="AP29" s="6">
        <v>1.1610813945030001</v>
      </c>
      <c r="AQ29" s="6">
        <v>0.47872884160000001</v>
      </c>
      <c r="AR29" s="6">
        <v>4.1945930281155004</v>
      </c>
      <c r="AS29" s="6">
        <v>1.42107404415</v>
      </c>
    </row>
    <row r="30" spans="1:45" x14ac:dyDescent="0.2">
      <c r="A30" s="1"/>
      <c r="B30" s="1"/>
      <c r="C30" s="1"/>
      <c r="D30" s="22" t="s">
        <v>14</v>
      </c>
      <c r="E30" s="2">
        <v>1.0334400000000001</v>
      </c>
      <c r="F30" s="2">
        <v>1.8955210365490308E-3</v>
      </c>
      <c r="G30" s="4"/>
      <c r="H30" s="4"/>
      <c r="I30" s="4"/>
      <c r="J30" s="4"/>
      <c r="K30" s="3">
        <v>16.399999999999999</v>
      </c>
      <c r="L30" s="3">
        <v>0.03</v>
      </c>
      <c r="M30" s="41">
        <v>10.454989709572001</v>
      </c>
      <c r="N30" s="41">
        <v>5.3028017699999999E-2</v>
      </c>
      <c r="O30" s="42">
        <v>142.81923172</v>
      </c>
      <c r="P30" s="42">
        <v>0.98374521124000003</v>
      </c>
      <c r="Q30" s="4"/>
      <c r="R30" s="4"/>
      <c r="S30" s="19"/>
      <c r="T30" s="19"/>
      <c r="U30" s="4"/>
      <c r="V30" s="3">
        <v>2297.5838799461999</v>
      </c>
      <c r="W30" s="3">
        <v>19.878021353499999</v>
      </c>
      <c r="X30" s="35"/>
      <c r="Y30" s="4"/>
      <c r="Z30" s="4"/>
      <c r="AA30" s="4"/>
      <c r="AB30" s="4"/>
      <c r="AC30" s="3"/>
      <c r="AD30" s="3"/>
      <c r="AE30" s="33"/>
      <c r="AF30" s="4"/>
      <c r="AG30" s="4"/>
      <c r="AH30" s="4"/>
      <c r="AI30" s="4"/>
      <c r="AJ30" s="4"/>
      <c r="AK30" s="3"/>
      <c r="AL30" s="3"/>
    </row>
    <row r="31" spans="1:45" x14ac:dyDescent="0.2">
      <c r="A31" s="4"/>
      <c r="B31" s="4"/>
      <c r="C31" s="4"/>
      <c r="D31" s="4"/>
      <c r="E31" s="25"/>
      <c r="F31" s="25"/>
      <c r="G31" s="4"/>
      <c r="H31" s="4"/>
      <c r="I31" s="4"/>
      <c r="J31" s="4"/>
      <c r="K31" s="4"/>
      <c r="L31" s="5"/>
      <c r="M31" s="43"/>
      <c r="N31" s="43"/>
      <c r="O31" s="43"/>
      <c r="P31" s="43"/>
      <c r="Q31" s="4"/>
      <c r="R31" s="4"/>
      <c r="S31" s="4"/>
      <c r="T31" s="4"/>
      <c r="U31" s="4"/>
      <c r="V31" s="4"/>
      <c r="W31" s="5"/>
      <c r="X31" s="34"/>
      <c r="Y31" s="3" t="s">
        <v>62</v>
      </c>
      <c r="Z31" s="4"/>
      <c r="AA31" s="4"/>
      <c r="AB31" s="4"/>
      <c r="AC31" s="4"/>
      <c r="AD31" s="5"/>
      <c r="AE31" s="33"/>
      <c r="AF31" s="4"/>
      <c r="AG31" s="4"/>
      <c r="AH31" s="4" t="s">
        <v>56</v>
      </c>
      <c r="AI31" s="4"/>
      <c r="AJ31" s="4"/>
      <c r="AK31" s="4"/>
      <c r="AL31" s="5"/>
    </row>
    <row r="32" spans="1:45" x14ac:dyDescent="0.2">
      <c r="A32" s="1"/>
      <c r="B32" s="1" t="s">
        <v>15</v>
      </c>
      <c r="C32" s="1" t="s">
        <v>11</v>
      </c>
      <c r="D32" s="1"/>
      <c r="E32" s="2"/>
      <c r="F32" s="2"/>
      <c r="G32" s="1"/>
      <c r="H32" s="1"/>
      <c r="I32" s="1"/>
      <c r="J32" s="1"/>
      <c r="K32" s="3"/>
      <c r="L32" s="3"/>
      <c r="M32" s="43"/>
      <c r="N32" s="43"/>
      <c r="O32" s="42"/>
      <c r="P32" s="42"/>
      <c r="Q32" s="1"/>
      <c r="R32" s="1"/>
      <c r="S32" s="19"/>
      <c r="T32" s="19"/>
      <c r="U32" s="4"/>
      <c r="V32" s="5"/>
      <c r="W32" s="5"/>
      <c r="X32" s="34"/>
      <c r="Y32" s="3">
        <f>AVERAGE(K28,K33,K38,K43)</f>
        <v>15.420476482500517</v>
      </c>
      <c r="Z32" s="5">
        <f>((L28^2/16)+(L33^2/16)+(L38^2/16)+(L43^2/16)+ STDEV(K28,K33,K38,K43)^2)^(1/2)</f>
        <v>9.9173695246867088E-2</v>
      </c>
      <c r="AA32" s="3"/>
      <c r="AB32" s="3"/>
      <c r="AC32" s="5"/>
      <c r="AD32" s="5"/>
      <c r="AE32" s="33"/>
      <c r="AF32" s="3"/>
      <c r="AG32" s="3"/>
      <c r="AH32" s="3" t="s">
        <v>57</v>
      </c>
      <c r="AI32" s="3"/>
      <c r="AJ32" s="3"/>
      <c r="AK32" s="5"/>
      <c r="AL32" s="5"/>
    </row>
    <row r="33" spans="1:38" x14ac:dyDescent="0.2">
      <c r="A33" s="1"/>
      <c r="B33" s="1"/>
      <c r="C33" s="1"/>
      <c r="D33" s="7" t="s">
        <v>12</v>
      </c>
      <c r="E33" s="2">
        <v>0.45064000000000004</v>
      </c>
      <c r="F33" s="2">
        <v>1.8091434437324317E-3</v>
      </c>
      <c r="G33" s="5">
        <v>15.746533333333334</v>
      </c>
      <c r="H33" s="5">
        <v>8.2947774734068204E-3</v>
      </c>
      <c r="I33" s="5"/>
      <c r="J33" s="5"/>
      <c r="K33" s="5">
        <v>15.495673104475902</v>
      </c>
      <c r="L33" s="5">
        <v>9.7736846945659178E-2</v>
      </c>
      <c r="M33" s="41">
        <v>7.3746999999999998</v>
      </c>
      <c r="N33" s="41">
        <v>2.47E-2</v>
      </c>
      <c r="O33" s="42">
        <v>368.07279999999997</v>
      </c>
      <c r="P33" s="42">
        <v>1.6415</v>
      </c>
      <c r="Q33" s="19">
        <v>11283.6805</v>
      </c>
      <c r="R33" s="20">
        <v>433.65075781389999</v>
      </c>
      <c r="S33" s="19">
        <v>4996.7106600875104</v>
      </c>
      <c r="T33" s="19">
        <v>454.69785884343003</v>
      </c>
      <c r="U33" s="4"/>
      <c r="V33" s="5">
        <f>6.1429*1000</f>
        <v>6142.9</v>
      </c>
      <c r="W33" s="5">
        <f>0.0531762*1000</f>
        <v>53.176200000000001</v>
      </c>
      <c r="X33" s="34"/>
      <c r="Y33" s="3"/>
      <c r="Z33" s="3"/>
      <c r="AA33" s="3"/>
      <c r="AB33" s="3"/>
      <c r="AC33" s="5"/>
      <c r="AD33" s="5"/>
      <c r="AE33" s="33"/>
      <c r="AF33" s="3"/>
      <c r="AG33" s="3"/>
      <c r="AH33" s="3"/>
      <c r="AI33" s="3"/>
      <c r="AJ33" s="3"/>
      <c r="AK33" s="5"/>
      <c r="AL33" s="5"/>
    </row>
    <row r="34" spans="1:38" x14ac:dyDescent="0.2">
      <c r="A34" s="1"/>
      <c r="B34" s="1"/>
      <c r="C34" s="1"/>
      <c r="D34" s="1" t="s">
        <v>21</v>
      </c>
      <c r="E34" s="2">
        <v>0.48852500000000004</v>
      </c>
      <c r="F34" s="2">
        <v>3.1020154738492069E-3</v>
      </c>
      <c r="G34" s="4"/>
      <c r="H34" s="4"/>
      <c r="I34" s="5">
        <v>16.462048243520297</v>
      </c>
      <c r="J34" s="5">
        <v>0.25412484147723358</v>
      </c>
      <c r="K34" s="4"/>
      <c r="L34" s="4"/>
      <c r="M34" s="43"/>
      <c r="N34" s="43"/>
      <c r="O34" s="43"/>
      <c r="P34" s="43"/>
      <c r="Q34" s="19"/>
      <c r="R34" s="20"/>
      <c r="S34" s="19"/>
      <c r="T34" s="19"/>
      <c r="U34" s="4"/>
      <c r="V34" s="4"/>
      <c r="W34" s="4"/>
      <c r="X34" s="33"/>
      <c r="Y34" s="5"/>
      <c r="Z34" s="5"/>
      <c r="AA34" s="5"/>
      <c r="AB34" s="5"/>
      <c r="AC34" s="3"/>
      <c r="AD34" s="3"/>
      <c r="AE34" s="34"/>
      <c r="AF34" s="3"/>
      <c r="AG34" s="5"/>
      <c r="AH34" s="5"/>
      <c r="AI34" s="5"/>
      <c r="AJ34" s="5"/>
      <c r="AK34" s="3"/>
      <c r="AL34" s="3"/>
    </row>
    <row r="35" spans="1:38" x14ac:dyDescent="0.2">
      <c r="A35" s="1"/>
      <c r="B35" s="1"/>
      <c r="C35" s="1"/>
      <c r="D35" s="26" t="s">
        <v>22</v>
      </c>
      <c r="E35" s="2">
        <v>1.52928</v>
      </c>
      <c r="F35" s="2">
        <v>1.5303594349040509E-3</v>
      </c>
      <c r="G35" s="4"/>
      <c r="H35" s="4"/>
      <c r="I35" s="4"/>
      <c r="J35" s="4"/>
      <c r="K35" s="3">
        <v>14.05</v>
      </c>
      <c r="L35" s="3">
        <v>0.05</v>
      </c>
      <c r="M35" s="41">
        <v>7.5883466123651102</v>
      </c>
      <c r="N35" s="41">
        <v>0.104393984905559</v>
      </c>
      <c r="O35" s="42">
        <v>282.69145700199999</v>
      </c>
      <c r="P35" s="42">
        <v>4.4326556575750002</v>
      </c>
      <c r="Q35" s="1"/>
      <c r="R35" s="1"/>
      <c r="S35" s="19"/>
      <c r="T35" s="19"/>
      <c r="U35" s="4"/>
      <c r="V35" s="3">
        <v>5763.0312975822899</v>
      </c>
      <c r="W35" s="3">
        <v>89.616356175475005</v>
      </c>
      <c r="X35" s="35"/>
      <c r="Y35" s="4"/>
      <c r="Z35" s="4"/>
      <c r="AA35" s="4"/>
      <c r="AB35" s="4"/>
      <c r="AC35" s="3"/>
      <c r="AD35" s="3"/>
      <c r="AE35" s="33"/>
      <c r="AF35" s="4"/>
      <c r="AG35" s="4"/>
      <c r="AH35" s="4"/>
      <c r="AI35" s="4"/>
      <c r="AJ35" s="4"/>
      <c r="AK35" s="3"/>
      <c r="AL35" s="3"/>
    </row>
    <row r="36" spans="1:38" x14ac:dyDescent="0.2">
      <c r="A36" s="1"/>
      <c r="B36" s="1"/>
      <c r="C36" s="1"/>
      <c r="D36" s="1"/>
      <c r="E36" s="2"/>
      <c r="F36" s="2"/>
      <c r="G36" s="4"/>
      <c r="H36" s="4"/>
      <c r="I36" s="4"/>
      <c r="J36" s="4"/>
      <c r="K36" s="3"/>
      <c r="L36" s="3"/>
      <c r="M36" s="43"/>
      <c r="N36" s="43"/>
      <c r="O36" s="42"/>
      <c r="P36" s="42"/>
      <c r="Q36" s="1"/>
      <c r="R36" s="1"/>
      <c r="S36" s="19"/>
      <c r="T36" s="19"/>
      <c r="U36" s="4"/>
      <c r="V36" s="5"/>
      <c r="W36" s="5"/>
      <c r="X36" s="34"/>
      <c r="Y36" s="3"/>
      <c r="Z36" s="3"/>
      <c r="AA36" s="3"/>
      <c r="AB36" s="3"/>
      <c r="AC36" s="5"/>
      <c r="AD36" s="5"/>
      <c r="AE36" s="33"/>
      <c r="AF36" s="3"/>
      <c r="AG36" s="3"/>
      <c r="AH36" s="3"/>
      <c r="AI36" s="3"/>
      <c r="AJ36" s="3"/>
      <c r="AK36" s="5"/>
      <c r="AL36" s="5"/>
    </row>
    <row r="37" spans="1:38" x14ac:dyDescent="0.2">
      <c r="A37" s="1"/>
      <c r="B37" s="1" t="s">
        <v>17</v>
      </c>
      <c r="C37" s="1" t="s">
        <v>11</v>
      </c>
      <c r="D37" s="1"/>
      <c r="E37" s="2"/>
      <c r="F37" s="2"/>
      <c r="G37" s="1"/>
      <c r="H37" s="1"/>
      <c r="I37" s="1"/>
      <c r="J37" s="1"/>
      <c r="K37" s="4"/>
      <c r="L37" s="4"/>
      <c r="M37" s="43"/>
      <c r="N37" s="43"/>
      <c r="O37" s="42"/>
      <c r="P37" s="42"/>
      <c r="Q37" s="14"/>
      <c r="R37" s="1"/>
      <c r="S37" s="19"/>
      <c r="T37" s="19"/>
      <c r="U37" s="4"/>
      <c r="V37" s="5"/>
      <c r="W37" s="5"/>
      <c r="X37" s="34"/>
      <c r="Y37" s="3"/>
      <c r="Z37" s="3"/>
      <c r="AA37" s="3"/>
      <c r="AB37" s="3"/>
      <c r="AC37" s="5"/>
      <c r="AD37" s="5"/>
      <c r="AE37" s="33"/>
      <c r="AF37" s="3"/>
      <c r="AG37" s="3"/>
      <c r="AH37" s="3"/>
      <c r="AI37" s="3"/>
      <c r="AJ37" s="3"/>
      <c r="AK37" s="5"/>
      <c r="AL37" s="5"/>
    </row>
    <row r="38" spans="1:38" x14ac:dyDescent="0.2">
      <c r="A38" s="1"/>
      <c r="B38" s="1"/>
      <c r="C38" s="1"/>
      <c r="D38" s="7" t="s">
        <v>12</v>
      </c>
      <c r="E38" s="2">
        <v>0.44236000000000003</v>
      </c>
      <c r="F38" s="2">
        <v>5.5946402922797548E-4</v>
      </c>
      <c r="G38" s="5">
        <v>15.636633333333334</v>
      </c>
      <c r="H38" s="5">
        <v>2.2793054497661232E-2</v>
      </c>
      <c r="I38" s="5"/>
      <c r="J38" s="5"/>
      <c r="K38" s="5">
        <v>15.450026194772651</v>
      </c>
      <c r="L38" s="5">
        <v>0.14749143052810273</v>
      </c>
      <c r="M38" s="41">
        <v>7.3198999999999996</v>
      </c>
      <c r="N38" s="41">
        <v>3.49E-2</v>
      </c>
      <c r="O38" s="42">
        <v>364.17930000000001</v>
      </c>
      <c r="P38" s="42">
        <v>2.3235999999999999</v>
      </c>
      <c r="Q38" s="19">
        <v>11166.337143204</v>
      </c>
      <c r="R38" s="20">
        <v>499.01129200000003</v>
      </c>
      <c r="S38" s="19">
        <v>4983.0973000000004</v>
      </c>
      <c r="T38" s="19">
        <v>457.59655356819798</v>
      </c>
      <c r="U38" s="4"/>
      <c r="V38" s="5">
        <f>6.1209*1000</f>
        <v>6120.9</v>
      </c>
      <c r="W38" s="5">
        <f>0.078*1000</f>
        <v>78</v>
      </c>
      <c r="X38" s="34"/>
      <c r="Y38" s="3"/>
      <c r="Z38" s="3"/>
      <c r="AA38" s="3"/>
      <c r="AB38" s="3"/>
      <c r="AC38" s="5"/>
      <c r="AD38" s="5"/>
      <c r="AE38" s="33"/>
      <c r="AF38" s="3"/>
      <c r="AG38" s="3"/>
      <c r="AH38" s="3"/>
      <c r="AI38" s="3"/>
      <c r="AJ38" s="3"/>
      <c r="AK38" s="5"/>
      <c r="AL38" s="5"/>
    </row>
    <row r="39" spans="1:38" x14ac:dyDescent="0.2">
      <c r="A39" s="1"/>
      <c r="B39" s="1"/>
      <c r="C39" s="1"/>
      <c r="D39" s="1" t="s">
        <v>23</v>
      </c>
      <c r="E39" s="2">
        <v>0.21100000000000002</v>
      </c>
      <c r="F39" s="2">
        <v>8.610458756651701E-3</v>
      </c>
      <c r="G39" s="4"/>
      <c r="H39" s="4"/>
      <c r="I39" s="5">
        <v>16.498338437479614</v>
      </c>
      <c r="J39" s="5">
        <v>0.74773390274217788</v>
      </c>
      <c r="K39" s="4"/>
      <c r="L39" s="4"/>
      <c r="M39" s="43"/>
      <c r="N39" s="43"/>
      <c r="O39" s="43"/>
      <c r="P39" s="43"/>
      <c r="Q39" s="19"/>
      <c r="R39" s="20"/>
      <c r="S39" s="19"/>
      <c r="T39" s="19"/>
      <c r="U39" s="4"/>
      <c r="V39" s="4"/>
      <c r="W39" s="4"/>
      <c r="X39" s="33"/>
      <c r="Y39" s="5"/>
      <c r="Z39" s="5"/>
      <c r="AA39" s="5"/>
      <c r="AB39" s="5"/>
      <c r="AC39" s="3"/>
      <c r="AD39" s="3"/>
      <c r="AE39" s="34"/>
      <c r="AF39" s="3"/>
      <c r="AG39" s="5"/>
      <c r="AH39" s="5"/>
      <c r="AI39" s="5"/>
      <c r="AJ39" s="5"/>
      <c r="AK39" s="3"/>
      <c r="AL39" s="3"/>
    </row>
    <row r="40" spans="1:38" x14ac:dyDescent="0.2">
      <c r="A40" s="1"/>
      <c r="B40" s="1"/>
      <c r="C40" s="1"/>
      <c r="D40" s="27" t="s">
        <v>14</v>
      </c>
      <c r="E40" s="2">
        <v>1.04114</v>
      </c>
      <c r="F40" s="2">
        <v>4.3397004504919252E-3</v>
      </c>
      <c r="G40" s="4"/>
      <c r="H40" s="4"/>
      <c r="I40" s="4"/>
      <c r="J40" s="4"/>
      <c r="K40" s="3">
        <v>16.600000000000001</v>
      </c>
      <c r="L40" s="3">
        <v>0.05</v>
      </c>
      <c r="M40" s="41">
        <v>10.6080223486</v>
      </c>
      <c r="N40" s="41">
        <v>6.2806614790000007E-2</v>
      </c>
      <c r="O40" s="42">
        <v>146.68433008653</v>
      </c>
      <c r="P40" s="42">
        <v>1.2709836764304101</v>
      </c>
      <c r="Q40" s="4"/>
      <c r="R40" s="4"/>
      <c r="S40" s="19"/>
      <c r="T40" s="19"/>
      <c r="U40" s="4"/>
      <c r="V40" s="3">
        <v>2308.4324565972001</v>
      </c>
      <c r="W40" s="3">
        <v>20.508540895519999</v>
      </c>
      <c r="X40" s="35"/>
      <c r="Y40" s="4"/>
      <c r="Z40" s="4"/>
      <c r="AA40" s="4"/>
      <c r="AB40" s="4"/>
      <c r="AC40" s="3"/>
      <c r="AD40" s="3"/>
      <c r="AE40" s="33"/>
      <c r="AF40" s="4"/>
      <c r="AG40" s="4"/>
      <c r="AH40" s="4"/>
      <c r="AI40" s="4"/>
      <c r="AJ40" s="4"/>
      <c r="AK40" s="3"/>
      <c r="AL40" s="3"/>
    </row>
    <row r="41" spans="1:38" x14ac:dyDescent="0.2">
      <c r="A41" s="1"/>
      <c r="B41" s="1"/>
      <c r="C41" s="1"/>
      <c r="D41" s="1"/>
      <c r="E41" s="2"/>
      <c r="F41" s="2"/>
      <c r="G41" s="4"/>
      <c r="H41" s="4"/>
      <c r="I41" s="4"/>
      <c r="J41" s="4"/>
      <c r="K41" s="3"/>
      <c r="L41" s="3"/>
      <c r="M41" s="43"/>
      <c r="N41" s="43"/>
      <c r="O41" s="42"/>
      <c r="P41" s="42"/>
      <c r="Q41" s="1"/>
      <c r="R41" s="1"/>
      <c r="S41" s="19"/>
      <c r="T41" s="19"/>
      <c r="U41" s="4"/>
      <c r="V41" s="5"/>
      <c r="W41" s="5"/>
      <c r="X41" s="34"/>
      <c r="Y41" s="3"/>
      <c r="Z41" s="3"/>
      <c r="AA41" s="3"/>
      <c r="AB41" s="3"/>
      <c r="AC41" s="5"/>
      <c r="AD41" s="5"/>
      <c r="AE41" s="33"/>
      <c r="AF41" s="3"/>
      <c r="AG41" s="3"/>
      <c r="AH41" s="3"/>
      <c r="AI41" s="3"/>
      <c r="AJ41" s="3"/>
      <c r="AK41" s="5"/>
      <c r="AL41" s="5"/>
    </row>
    <row r="42" spans="1:38" x14ac:dyDescent="0.2">
      <c r="A42" s="1"/>
      <c r="B42" s="1" t="s">
        <v>19</v>
      </c>
      <c r="C42" s="1" t="s">
        <v>11</v>
      </c>
      <c r="D42" s="1"/>
      <c r="E42" s="2"/>
      <c r="F42" s="2"/>
      <c r="G42" s="1"/>
      <c r="H42" s="1"/>
      <c r="I42" s="1"/>
      <c r="J42" s="1"/>
      <c r="K42" s="4"/>
      <c r="L42" s="4"/>
      <c r="M42" s="44"/>
      <c r="N42" s="44"/>
      <c r="O42" s="45"/>
      <c r="P42" s="45"/>
      <c r="Q42" s="1"/>
      <c r="R42" s="1"/>
      <c r="S42" s="20"/>
      <c r="T42" s="20"/>
      <c r="U42" s="4"/>
      <c r="V42" s="3"/>
      <c r="W42" s="3"/>
      <c r="X42" s="35"/>
      <c r="Y42" s="4"/>
      <c r="Z42" s="4"/>
      <c r="AA42" s="4"/>
      <c r="AB42" s="4"/>
      <c r="AC42" s="3"/>
      <c r="AD42" s="3"/>
      <c r="AE42" s="33"/>
      <c r="AF42" s="4"/>
      <c r="AG42" s="4"/>
      <c r="AH42" s="4"/>
      <c r="AI42" s="4"/>
      <c r="AJ42" s="4"/>
      <c r="AK42" s="3"/>
      <c r="AL42" s="3"/>
    </row>
    <row r="43" spans="1:38" x14ac:dyDescent="0.2">
      <c r="A43" s="1"/>
      <c r="B43" s="1"/>
      <c r="C43" s="1"/>
      <c r="D43" s="7" t="s">
        <v>12</v>
      </c>
      <c r="E43" s="2">
        <v>0.44442000000000004</v>
      </c>
      <c r="F43" s="2">
        <v>1.186170308176693E-3</v>
      </c>
      <c r="G43" s="5">
        <v>15.62035</v>
      </c>
      <c r="H43" s="5">
        <v>6.8589357775085983E-3</v>
      </c>
      <c r="I43" s="5"/>
      <c r="J43" s="5"/>
      <c r="K43" s="5">
        <v>15.344007595701489</v>
      </c>
      <c r="L43" s="5">
        <v>0.19002283999425548</v>
      </c>
      <c r="M43" s="41">
        <v>7.3296000000000001</v>
      </c>
      <c r="N43" s="41">
        <v>3.95E-2</v>
      </c>
      <c r="O43" s="42">
        <v>362.07589999999999</v>
      </c>
      <c r="P43" s="42">
        <v>2.7515999999999998</v>
      </c>
      <c r="Q43" s="19">
        <v>10917.679333317899</v>
      </c>
      <c r="R43" s="20">
        <v>555.57110469999998</v>
      </c>
      <c r="S43" s="19">
        <v>4944.5364909299997</v>
      </c>
      <c r="T43" s="19">
        <v>460.52577100000002</v>
      </c>
      <c r="U43" s="4"/>
      <c r="V43" s="5">
        <f>6.1687*1000</f>
        <v>6168.7000000000007</v>
      </c>
      <c r="W43" s="5">
        <f>0.0991*1000</f>
        <v>99.1</v>
      </c>
      <c r="X43" s="34"/>
      <c r="Y43" s="3"/>
      <c r="Z43" s="3"/>
      <c r="AA43" s="3"/>
      <c r="AB43" s="3"/>
      <c r="AC43" s="5"/>
      <c r="AD43" s="5"/>
      <c r="AE43" s="33"/>
      <c r="AF43" s="3"/>
      <c r="AG43" s="3"/>
      <c r="AH43" s="3"/>
      <c r="AI43" s="3"/>
      <c r="AJ43" s="3"/>
      <c r="AK43" s="5"/>
      <c r="AL43" s="5"/>
    </row>
    <row r="44" spans="1:38" x14ac:dyDescent="0.2">
      <c r="A44" s="1"/>
      <c r="B44" s="1"/>
      <c r="C44" s="1"/>
      <c r="D44" s="1" t="s">
        <v>24</v>
      </c>
      <c r="E44" s="2">
        <v>0.79442500000000005</v>
      </c>
      <c r="F44" s="2">
        <v>6.2845710540444626E-3</v>
      </c>
      <c r="G44" s="4"/>
      <c r="H44" s="4"/>
      <c r="I44" s="5">
        <v>16.367663344407571</v>
      </c>
      <c r="J44" s="5">
        <v>0.21259269512561546</v>
      </c>
      <c r="K44" s="4"/>
      <c r="L44" s="4"/>
      <c r="M44" s="43"/>
      <c r="N44" s="43"/>
      <c r="O44" s="43"/>
      <c r="P44" s="43"/>
      <c r="Q44" s="19"/>
      <c r="R44" s="20"/>
      <c r="S44" s="19"/>
      <c r="T44" s="19"/>
      <c r="U44" s="4"/>
      <c r="V44" s="4"/>
      <c r="W44" s="4"/>
      <c r="X44" s="33"/>
      <c r="Y44" s="3"/>
      <c r="Z44" s="3"/>
      <c r="AA44" s="3"/>
      <c r="AB44" s="3"/>
      <c r="AC44" s="3"/>
      <c r="AD44" s="3"/>
      <c r="AE44" s="35"/>
      <c r="AF44" s="3"/>
      <c r="AG44" s="3"/>
      <c r="AH44" s="3"/>
      <c r="AI44" s="3"/>
      <c r="AJ44" s="3"/>
      <c r="AK44" s="3"/>
      <c r="AL44" s="3"/>
    </row>
    <row r="45" spans="1:38" x14ac:dyDescent="0.2">
      <c r="A45" s="1"/>
      <c r="B45" s="1"/>
      <c r="C45" s="1"/>
      <c r="D45" s="27" t="s">
        <v>14</v>
      </c>
      <c r="E45" s="2">
        <v>1.0443799999999999</v>
      </c>
      <c r="F45" s="2">
        <v>1.0171135629810488E-2</v>
      </c>
      <c r="G45" s="4"/>
      <c r="H45" s="4"/>
      <c r="I45" s="4"/>
      <c r="J45" s="4"/>
      <c r="K45" s="3">
        <v>16.48</v>
      </c>
      <c r="L45" s="3">
        <v>0.02</v>
      </c>
      <c r="M45" s="44">
        <v>10.518831653629</v>
      </c>
      <c r="N45" s="44">
        <v>5.4538972760999997E-2</v>
      </c>
      <c r="O45" s="45">
        <v>144.3144040718</v>
      </c>
      <c r="P45" s="45">
        <v>0.98387893943824001</v>
      </c>
      <c r="Q45" s="1"/>
      <c r="R45" s="1"/>
      <c r="S45" s="1"/>
      <c r="T45" s="1"/>
      <c r="U45" s="4"/>
      <c r="V45" s="3">
        <v>2301.52140947818</v>
      </c>
      <c r="W45" s="3">
        <v>20.059192232099999</v>
      </c>
      <c r="X45" s="35"/>
      <c r="Y45" s="4"/>
      <c r="Z45" s="4"/>
      <c r="AA45" s="4"/>
      <c r="AB45" s="4"/>
      <c r="AC45" s="3"/>
      <c r="AD45" s="3"/>
      <c r="AE45" s="33"/>
      <c r="AF45" s="4"/>
      <c r="AG45" s="4"/>
      <c r="AH45" s="4"/>
      <c r="AI45" s="4"/>
      <c r="AJ45" s="4"/>
      <c r="AK45" s="3"/>
      <c r="AL45" s="3"/>
    </row>
    <row r="46" spans="1:38" x14ac:dyDescent="0.2">
      <c r="A46" s="1"/>
      <c r="B46" s="1"/>
      <c r="C46" s="1"/>
      <c r="D46" s="1"/>
      <c r="E46" s="2"/>
      <c r="F46" s="2"/>
      <c r="G46" s="1"/>
      <c r="H46" s="1"/>
      <c r="I46" s="1"/>
      <c r="J46" s="1"/>
      <c r="K46" s="3"/>
      <c r="L46" s="3"/>
      <c r="M46" s="5"/>
      <c r="N46" s="5"/>
      <c r="O46" s="18"/>
      <c r="P46" s="18"/>
      <c r="Q46" s="1"/>
      <c r="R46" s="1"/>
      <c r="S46" s="1"/>
      <c r="T46" s="1"/>
      <c r="U46" s="4"/>
      <c r="V46" s="3"/>
      <c r="W46" s="3"/>
      <c r="X46" s="35"/>
      <c r="Y46" s="3"/>
      <c r="Z46" s="3"/>
      <c r="AA46" s="3"/>
      <c r="AB46" s="3"/>
      <c r="AC46" s="3"/>
      <c r="AD46" s="3"/>
      <c r="AE46" s="35"/>
      <c r="AF46" s="3"/>
      <c r="AG46" s="3"/>
      <c r="AH46" s="3"/>
      <c r="AI46" s="3"/>
      <c r="AJ46" s="3"/>
      <c r="AK46" s="3"/>
      <c r="AL46" s="3"/>
    </row>
    <row r="47" spans="1:38" x14ac:dyDescent="0.2">
      <c r="A47" s="1"/>
      <c r="B47" s="1"/>
      <c r="C47" s="4" t="s">
        <v>63</v>
      </c>
      <c r="D47" s="4"/>
      <c r="E47" s="25"/>
      <c r="F47" s="25"/>
      <c r="H47" s="4"/>
      <c r="I47" s="4"/>
      <c r="J47" s="4"/>
      <c r="K47" s="5">
        <f>Y32</f>
        <v>15.420476482500517</v>
      </c>
      <c r="L47" s="5">
        <f>Z32</f>
        <v>9.9173695246867088E-2</v>
      </c>
      <c r="M47" s="3">
        <v>7.4200999999999997</v>
      </c>
      <c r="N47" s="3">
        <v>2.98E-2</v>
      </c>
      <c r="O47" s="28">
        <v>368.45269999999999</v>
      </c>
      <c r="P47" s="28">
        <v>1.8732</v>
      </c>
      <c r="Q47" s="1">
        <v>11097.822123</v>
      </c>
      <c r="R47" s="1">
        <v>424.667124344</v>
      </c>
      <c r="S47" s="20">
        <v>4967.70442783</v>
      </c>
      <c r="T47" s="20">
        <v>449.63110389280001</v>
      </c>
      <c r="U47" s="4"/>
      <c r="V47" s="3">
        <v>6206.9</v>
      </c>
      <c r="W47" s="3">
        <v>56.332599999999999</v>
      </c>
      <c r="X47" s="35"/>
      <c r="Y47" s="3"/>
      <c r="Z47" s="3"/>
      <c r="AA47" s="3"/>
      <c r="AB47" s="3"/>
      <c r="AC47" s="3"/>
      <c r="AD47" s="3"/>
      <c r="AE47" s="33"/>
      <c r="AF47" s="3"/>
      <c r="AG47" s="3"/>
      <c r="AH47" s="3"/>
      <c r="AI47" s="3"/>
      <c r="AJ47" s="3"/>
      <c r="AK47" s="3"/>
      <c r="AL47" s="3"/>
    </row>
    <row r="48" spans="1:38" x14ac:dyDescent="0.2">
      <c r="A48" s="1"/>
      <c r="B48" s="1"/>
      <c r="C48" s="4"/>
      <c r="D48" s="4"/>
      <c r="E48" s="25"/>
      <c r="F48" s="25"/>
      <c r="H48" s="4"/>
      <c r="I48" s="4"/>
      <c r="J48" s="4"/>
      <c r="K48" s="5"/>
      <c r="L48" s="5"/>
      <c r="M48" s="3"/>
      <c r="N48" s="3"/>
      <c r="O48" s="28"/>
      <c r="P48" s="28"/>
      <c r="Q48" s="19">
        <v>4716</v>
      </c>
      <c r="R48" s="1">
        <v>1299</v>
      </c>
      <c r="S48" s="20"/>
      <c r="T48" s="20"/>
      <c r="U48" s="4"/>
      <c r="V48" s="3"/>
      <c r="W48" s="3"/>
      <c r="X48" s="35"/>
      <c r="Y48" s="3"/>
      <c r="Z48" s="3"/>
      <c r="AA48" s="3"/>
      <c r="AB48" s="3"/>
      <c r="AC48" s="3"/>
      <c r="AD48" s="3"/>
      <c r="AE48" s="33"/>
      <c r="AF48" s="3"/>
      <c r="AG48" s="3"/>
      <c r="AH48" s="3"/>
      <c r="AI48" s="3"/>
      <c r="AJ48" s="3"/>
      <c r="AK48" s="3"/>
      <c r="AL48" s="3"/>
    </row>
    <row r="49" spans="1:45" x14ac:dyDescent="0.2">
      <c r="A49" s="8">
        <v>2879</v>
      </c>
      <c r="B49" s="9"/>
      <c r="C49" s="9"/>
      <c r="D49" s="9"/>
      <c r="E49" s="10"/>
      <c r="F49" s="10"/>
      <c r="G49" s="9"/>
      <c r="H49" s="9"/>
      <c r="I49" s="9"/>
      <c r="J49" s="9"/>
      <c r="K49" s="9"/>
      <c r="L49" s="11"/>
      <c r="M49" s="9"/>
      <c r="N49" s="9"/>
      <c r="O49" s="9"/>
      <c r="P49" s="9"/>
      <c r="Q49" s="9"/>
      <c r="R49" s="9"/>
      <c r="S49" s="9"/>
      <c r="T49" s="9"/>
      <c r="U49" s="4"/>
      <c r="V49" s="12"/>
      <c r="W49" s="12"/>
      <c r="X49" s="33"/>
      <c r="Y49" s="10"/>
      <c r="Z49" s="10"/>
      <c r="AA49" s="10"/>
      <c r="AB49" s="10"/>
      <c r="AC49" s="12"/>
      <c r="AD49" s="12"/>
      <c r="AE49" s="38"/>
      <c r="AF49" s="10"/>
      <c r="AG49" s="10"/>
      <c r="AH49" s="10"/>
      <c r="AI49" s="10"/>
      <c r="AJ49" s="10"/>
      <c r="AK49" s="12"/>
      <c r="AL49" s="12"/>
      <c r="AM49" s="12"/>
      <c r="AN49" s="12"/>
      <c r="AO49" s="12"/>
      <c r="AP49" s="12"/>
      <c r="AQ49" s="12"/>
      <c r="AR49" s="12"/>
      <c r="AS49" s="12"/>
    </row>
    <row r="50" spans="1:45" x14ac:dyDescent="0.2">
      <c r="A50" s="1"/>
      <c r="B50" s="1" t="s">
        <v>10</v>
      </c>
      <c r="C50" s="1" t="s">
        <v>11</v>
      </c>
      <c r="D50" s="1"/>
      <c r="E50" s="2"/>
      <c r="F50" s="2"/>
      <c r="G50" s="1"/>
      <c r="H50" s="1"/>
      <c r="I50" s="1"/>
      <c r="J50" s="1"/>
      <c r="K50" s="1"/>
      <c r="L50" s="3"/>
      <c r="M50" s="1"/>
      <c r="N50" s="1"/>
      <c r="O50" s="1"/>
      <c r="P50" s="1"/>
      <c r="Q50" s="1"/>
      <c r="R50" s="1"/>
      <c r="S50" s="1"/>
      <c r="T50" s="1"/>
      <c r="U50" s="4"/>
      <c r="V50" s="4"/>
      <c r="W50" s="5"/>
      <c r="X50" s="34"/>
      <c r="Y50" s="4"/>
      <c r="Z50" s="4"/>
      <c r="AA50" s="4"/>
      <c r="AB50" s="4"/>
      <c r="AC50" s="4"/>
      <c r="AD50" s="5"/>
      <c r="AE50" s="33"/>
      <c r="AF50" s="4"/>
      <c r="AG50" s="4"/>
      <c r="AH50" s="4"/>
      <c r="AI50" s="4"/>
      <c r="AJ50" s="4"/>
      <c r="AK50" s="4"/>
      <c r="AL50" s="5"/>
    </row>
    <row r="51" spans="1:45" x14ac:dyDescent="0.2">
      <c r="A51" s="1"/>
      <c r="B51" s="1"/>
      <c r="C51" s="1"/>
      <c r="D51" s="7" t="s">
        <v>12</v>
      </c>
      <c r="E51" s="2">
        <v>0.45000000000000007</v>
      </c>
      <c r="F51" s="2">
        <v>9.0478358370017619E-3</v>
      </c>
      <c r="G51" s="5">
        <v>12.8254</v>
      </c>
      <c r="H51" s="5">
        <v>1.0476163419878483E-2</v>
      </c>
      <c r="I51" s="5"/>
      <c r="J51" s="5"/>
      <c r="K51" s="5">
        <v>13.566884741776978</v>
      </c>
      <c r="L51" s="5">
        <v>0.30045059544344832</v>
      </c>
      <c r="M51" s="49">
        <v>6.0368000000000004</v>
      </c>
      <c r="N51" s="49">
        <v>5.7700000000000001E-2</v>
      </c>
      <c r="O51" s="50">
        <v>263.76339999999999</v>
      </c>
      <c r="P51" s="50">
        <v>3.4641999999999999</v>
      </c>
      <c r="Q51" s="51">
        <v>7347.8721049799997</v>
      </c>
      <c r="R51" s="20">
        <v>610.39999820000003</v>
      </c>
      <c r="S51" s="51">
        <v>4329.8452814749999</v>
      </c>
      <c r="T51" s="51">
        <v>475.82430884500002</v>
      </c>
      <c r="U51" s="47"/>
      <c r="V51" s="49">
        <v>5806.5</v>
      </c>
      <c r="W51" s="49">
        <v>148.334</v>
      </c>
      <c r="X51" s="34"/>
      <c r="Y51" s="4"/>
      <c r="Z51" s="4"/>
      <c r="AA51" s="4"/>
      <c r="AB51" s="4"/>
      <c r="AC51" s="5"/>
      <c r="AD51" s="5"/>
      <c r="AE51" s="33"/>
      <c r="AF51" s="4"/>
      <c r="AG51" s="4"/>
      <c r="AH51" s="4"/>
      <c r="AI51" s="4"/>
      <c r="AJ51" s="4"/>
      <c r="AK51" s="5"/>
      <c r="AL51" s="5"/>
    </row>
    <row r="52" spans="1:45" x14ac:dyDescent="0.2">
      <c r="A52" s="1"/>
      <c r="B52" s="1"/>
      <c r="C52" s="1"/>
      <c r="D52" s="1" t="s">
        <v>21</v>
      </c>
      <c r="E52" s="2">
        <v>0.49902500000000005</v>
      </c>
      <c r="F52" s="2">
        <v>1.5690841277637087E-2</v>
      </c>
      <c r="G52" s="4"/>
      <c r="H52" s="4"/>
      <c r="I52" s="5">
        <v>12.956303873714795</v>
      </c>
      <c r="J52" s="5">
        <v>0.42921618055081934</v>
      </c>
      <c r="K52" s="4"/>
      <c r="L52" s="4"/>
      <c r="M52" s="4"/>
      <c r="N52" s="4"/>
      <c r="O52" s="4"/>
      <c r="P52" s="4"/>
      <c r="Q52" s="19"/>
      <c r="R52" s="20"/>
      <c r="S52" s="19"/>
      <c r="T52" s="19"/>
      <c r="U52" s="4"/>
      <c r="V52" s="4"/>
      <c r="W52" s="4"/>
      <c r="X52" s="33"/>
      <c r="Y52" s="5">
        <f>AVERAGE(I52,I57)</f>
        <v>12.933254243647445</v>
      </c>
      <c r="Z52" s="5">
        <f>((J52^2/4)+(J57^2/4)+ STDEV(I52,I57)^2)^(1/2)</f>
        <v>0.24674123895536054</v>
      </c>
      <c r="AA52" s="5">
        <f>K58</f>
        <v>12.03</v>
      </c>
      <c r="AB52" s="5">
        <f>L58</f>
        <v>0.02</v>
      </c>
      <c r="AC52" s="5">
        <f>K53</f>
        <v>13.98</v>
      </c>
      <c r="AD52" s="5">
        <f>L53</f>
        <v>0.05</v>
      </c>
      <c r="AE52" s="34"/>
      <c r="AF52" s="3">
        <v>2422.1787343850001</v>
      </c>
      <c r="AG52" s="5">
        <v>267.94641098469998</v>
      </c>
      <c r="AH52" s="5">
        <v>11.9828795443637</v>
      </c>
      <c r="AI52" s="5">
        <v>1.3523404444230001</v>
      </c>
      <c r="AJ52" s="5">
        <v>9.3987936693579996</v>
      </c>
      <c r="AK52" s="3">
        <v>0.72375482672285896</v>
      </c>
      <c r="AL52" s="3">
        <v>5589.7704665982901</v>
      </c>
      <c r="AM52" s="6">
        <v>915.49214422849002</v>
      </c>
      <c r="AN52" s="6">
        <v>4548.8506742485497</v>
      </c>
      <c r="AO52" s="6">
        <v>521.32848910274004</v>
      </c>
      <c r="AP52" s="6">
        <v>1.1252978206799999</v>
      </c>
      <c r="AQ52" s="6">
        <v>0.32860419335000002</v>
      </c>
      <c r="AR52" s="6">
        <v>4.3735108983000002</v>
      </c>
      <c r="AS52" s="6">
        <v>1.0751163589920001</v>
      </c>
    </row>
    <row r="53" spans="1:45" x14ac:dyDescent="0.2">
      <c r="A53" s="1"/>
      <c r="B53" s="1"/>
      <c r="C53" s="1"/>
      <c r="D53" s="27" t="s">
        <v>14</v>
      </c>
      <c r="E53" s="2">
        <v>1.0284</v>
      </c>
      <c r="F53" s="2">
        <v>8.2574209048588698E-3</v>
      </c>
      <c r="G53" s="21"/>
      <c r="H53" s="21"/>
      <c r="I53" s="21"/>
      <c r="J53" s="21"/>
      <c r="K53" s="3">
        <v>13.98</v>
      </c>
      <c r="L53" s="3">
        <v>0.05</v>
      </c>
      <c r="M53" s="41">
        <v>8.5557017450000004</v>
      </c>
      <c r="N53" s="41">
        <v>6.5590609899999999E-2</v>
      </c>
      <c r="O53" s="42">
        <v>99.625378739681693</v>
      </c>
      <c r="P53" s="42">
        <v>1.0566232934341999</v>
      </c>
      <c r="Q53" s="4"/>
      <c r="R53" s="1"/>
      <c r="S53" s="19"/>
      <c r="T53" s="19"/>
      <c r="U53" s="4"/>
      <c r="V53" s="3">
        <v>2146.8004673</v>
      </c>
      <c r="W53" s="3">
        <v>22.042386903406999</v>
      </c>
      <c r="X53" s="35"/>
      <c r="Y53" s="4"/>
      <c r="Z53" s="4"/>
      <c r="AA53" s="4"/>
      <c r="AB53" s="4"/>
      <c r="AC53" s="3"/>
      <c r="AD53" s="3"/>
      <c r="AE53" s="33"/>
      <c r="AF53" s="4"/>
      <c r="AG53" s="4"/>
      <c r="AH53" s="4"/>
      <c r="AI53" s="4"/>
      <c r="AJ53" s="4"/>
      <c r="AK53" s="3"/>
      <c r="AL53" s="3"/>
    </row>
    <row r="54" spans="1:45" x14ac:dyDescent="0.2">
      <c r="A54" s="1"/>
      <c r="B54" s="1"/>
      <c r="C54" s="1"/>
      <c r="D54" s="4"/>
      <c r="E54" s="2"/>
      <c r="F54" s="2"/>
      <c r="G54" s="1"/>
      <c r="H54" s="1"/>
      <c r="I54" s="1"/>
      <c r="J54" s="1"/>
      <c r="K54" s="3"/>
      <c r="L54" s="3"/>
      <c r="M54" s="43"/>
      <c r="N54" s="43"/>
      <c r="O54" s="42"/>
      <c r="P54" s="42"/>
      <c r="Q54" s="4"/>
      <c r="R54" s="1"/>
      <c r="S54" s="19"/>
      <c r="T54" s="19"/>
      <c r="U54" s="4"/>
      <c r="V54" s="5"/>
      <c r="W54" s="5"/>
      <c r="X54" s="34"/>
      <c r="Y54" s="3" t="s">
        <v>62</v>
      </c>
      <c r="Z54" s="4"/>
      <c r="AA54" s="3"/>
      <c r="AB54" s="3"/>
      <c r="AC54" s="5"/>
      <c r="AD54" s="5"/>
      <c r="AE54" s="35"/>
      <c r="AF54" s="3"/>
      <c r="AG54" s="3"/>
      <c r="AH54" s="3" t="s">
        <v>52</v>
      </c>
      <c r="AI54" s="3"/>
      <c r="AJ54" s="3"/>
      <c r="AK54" s="5"/>
      <c r="AL54" s="5"/>
    </row>
    <row r="55" spans="1:45" x14ac:dyDescent="0.2">
      <c r="A55" s="1"/>
      <c r="B55" s="1" t="s">
        <v>15</v>
      </c>
      <c r="C55" s="1" t="s">
        <v>11</v>
      </c>
      <c r="D55" s="4"/>
      <c r="E55" s="25"/>
      <c r="F55" s="25"/>
      <c r="G55" s="4"/>
      <c r="H55" s="1"/>
      <c r="I55" s="1"/>
      <c r="J55" s="1"/>
      <c r="K55" s="4"/>
      <c r="L55" s="4"/>
      <c r="M55" s="43"/>
      <c r="N55" s="43"/>
      <c r="O55" s="42"/>
      <c r="P55" s="42"/>
      <c r="Q55" s="1"/>
      <c r="R55" s="1"/>
      <c r="S55" s="19"/>
      <c r="T55" s="19"/>
      <c r="U55" s="4"/>
      <c r="V55" s="5"/>
      <c r="W55" s="5"/>
      <c r="X55" s="34"/>
      <c r="Y55" s="3">
        <f>AVERAGE(K51,K56)</f>
        <v>13.4609081994255</v>
      </c>
      <c r="Z55" s="5">
        <f>((L51^2/4)+(L56^2/4)+STDEV(K51,K56)^2)^(1/2)</f>
        <v>0.30191413227292069</v>
      </c>
      <c r="AA55" s="4"/>
      <c r="AB55" s="4"/>
      <c r="AC55" s="5"/>
      <c r="AD55" s="5"/>
      <c r="AE55" s="33"/>
      <c r="AF55" s="4"/>
      <c r="AG55" s="4"/>
      <c r="AH55" s="4" t="s">
        <v>53</v>
      </c>
      <c r="AI55" s="4"/>
      <c r="AJ55" s="4"/>
      <c r="AK55" s="5"/>
      <c r="AL55" s="5"/>
    </row>
    <row r="56" spans="1:45" x14ac:dyDescent="0.2">
      <c r="A56" s="1"/>
      <c r="B56" s="1"/>
      <c r="C56" s="1"/>
      <c r="D56" s="7" t="s">
        <v>12</v>
      </c>
      <c r="E56" s="2">
        <v>0.44362857142857143</v>
      </c>
      <c r="F56" s="2">
        <v>4.5704537651143204E-3</v>
      </c>
      <c r="G56" s="5">
        <v>12.868233333333334</v>
      </c>
      <c r="H56" s="5">
        <v>2.914812744128455E-2</v>
      </c>
      <c r="I56" s="5"/>
      <c r="J56" s="5"/>
      <c r="K56" s="5">
        <v>13.354931657074022</v>
      </c>
      <c r="L56" s="5">
        <v>0.42952274972569698</v>
      </c>
      <c r="M56" s="52">
        <v>6.1208</v>
      </c>
      <c r="N56" s="52">
        <v>8.5400000000000004E-2</v>
      </c>
      <c r="O56" s="53">
        <v>261.15120000000002</v>
      </c>
      <c r="P56" s="53">
        <v>5.1266999999999996</v>
      </c>
      <c r="Q56" s="51">
        <v>6992.9476713200002</v>
      </c>
      <c r="R56" s="20">
        <v>798.43586668700004</v>
      </c>
      <c r="S56" s="51">
        <v>4242.3012227170002</v>
      </c>
      <c r="T56" s="51">
        <v>491.16211787667999</v>
      </c>
      <c r="U56" s="47"/>
      <c r="V56" s="49">
        <v>5999.6</v>
      </c>
      <c r="W56" s="49">
        <v>243.33949999999999</v>
      </c>
      <c r="X56" s="34"/>
      <c r="Y56" s="3"/>
      <c r="Z56" s="3"/>
      <c r="AA56" s="3"/>
      <c r="AB56" s="3"/>
      <c r="AC56" s="5"/>
      <c r="AD56" s="5"/>
      <c r="AE56" s="35"/>
      <c r="AF56" s="3"/>
      <c r="AG56" s="3"/>
      <c r="AH56" s="3"/>
      <c r="AI56" s="3"/>
      <c r="AJ56" s="3"/>
      <c r="AK56" s="5"/>
      <c r="AL56" s="5"/>
    </row>
    <row r="57" spans="1:45" x14ac:dyDescent="0.2">
      <c r="A57" s="1"/>
      <c r="B57" s="1"/>
      <c r="C57" s="1"/>
      <c r="D57" s="1" t="s">
        <v>21</v>
      </c>
      <c r="E57" s="2">
        <v>0.49530000000000002</v>
      </c>
      <c r="F57" s="2">
        <v>7.2272631980116395E-3</v>
      </c>
      <c r="G57" s="4"/>
      <c r="H57" s="4"/>
      <c r="I57" s="5">
        <v>12.910204613580095</v>
      </c>
      <c r="J57" s="5">
        <v>0.23462340630963999</v>
      </c>
      <c r="K57" s="4"/>
      <c r="L57" s="4"/>
      <c r="M57" s="43"/>
      <c r="N57" s="43"/>
      <c r="O57" s="43"/>
      <c r="P57" s="43"/>
      <c r="Q57" s="19"/>
      <c r="R57" s="20"/>
      <c r="S57" s="19"/>
      <c r="T57" s="19"/>
      <c r="U57" s="4"/>
      <c r="V57" s="4"/>
      <c r="W57" s="4"/>
      <c r="X57" s="33"/>
      <c r="Y57" s="5"/>
      <c r="Z57" s="5"/>
      <c r="AA57" s="5"/>
      <c r="AB57" s="5"/>
      <c r="AC57" s="3"/>
      <c r="AD57" s="3"/>
      <c r="AE57" s="34"/>
      <c r="AF57" s="3"/>
      <c r="AG57" s="5"/>
      <c r="AH57" s="5"/>
      <c r="AI57" s="5"/>
      <c r="AJ57" s="5"/>
      <c r="AK57" s="3"/>
      <c r="AL57" s="3"/>
    </row>
    <row r="58" spans="1:45" x14ac:dyDescent="0.2">
      <c r="A58" s="1"/>
      <c r="B58" s="1"/>
      <c r="C58" s="1"/>
      <c r="D58" s="26" t="s">
        <v>22</v>
      </c>
      <c r="E58" s="2">
        <v>1.5363599999999997</v>
      </c>
      <c r="F58" s="2">
        <v>3.5071355833496501E-4</v>
      </c>
      <c r="G58" s="21"/>
      <c r="H58" s="21"/>
      <c r="I58" s="21"/>
      <c r="J58" s="21"/>
      <c r="K58" s="3">
        <v>12.03</v>
      </c>
      <c r="L58" s="3">
        <v>0.02</v>
      </c>
      <c r="M58" s="41">
        <v>6.1858451242600001</v>
      </c>
      <c r="N58" s="41">
        <v>6.3214006776339995E-2</v>
      </c>
      <c r="O58" s="42">
        <v>197.30785394</v>
      </c>
      <c r="P58" s="42">
        <v>2.1786193241756999</v>
      </c>
      <c r="Q58" s="3"/>
      <c r="R58" s="1"/>
      <c r="S58" s="19"/>
      <c r="T58" s="19"/>
      <c r="U58" s="4"/>
      <c r="V58" s="3">
        <v>5456.2987494999998</v>
      </c>
      <c r="W58" s="3">
        <v>60.281325362729</v>
      </c>
      <c r="X58" s="35"/>
      <c r="Y58" s="4"/>
      <c r="Z58" s="4"/>
      <c r="AA58" s="4"/>
      <c r="AB58" s="4"/>
      <c r="AC58" s="3"/>
      <c r="AD58" s="3"/>
      <c r="AE58" s="33"/>
      <c r="AF58" s="4"/>
      <c r="AG58" s="4"/>
      <c r="AH58" s="4"/>
      <c r="AI58" s="4"/>
      <c r="AJ58" s="4"/>
      <c r="AK58" s="3"/>
      <c r="AL58" s="3"/>
    </row>
    <row r="59" spans="1:45" x14ac:dyDescent="0.2">
      <c r="A59" s="1"/>
      <c r="B59" s="1"/>
      <c r="C59" s="1"/>
      <c r="D59" s="29"/>
      <c r="E59" s="2"/>
      <c r="F59" s="2"/>
      <c r="G59" s="21"/>
      <c r="H59" s="21"/>
      <c r="I59" s="21"/>
      <c r="J59" s="21"/>
      <c r="K59" s="3"/>
      <c r="L59" s="3"/>
      <c r="M59" s="41"/>
      <c r="N59" s="41"/>
      <c r="O59" s="42"/>
      <c r="P59" s="42"/>
      <c r="Q59" s="3"/>
      <c r="R59" s="1"/>
      <c r="S59" s="19"/>
      <c r="T59" s="19"/>
      <c r="U59" s="4"/>
      <c r="V59" s="3"/>
      <c r="W59" s="3"/>
      <c r="X59" s="35"/>
      <c r="Y59" s="4"/>
      <c r="Z59" s="4"/>
      <c r="AA59" s="4"/>
      <c r="AB59" s="4"/>
      <c r="AC59" s="3"/>
      <c r="AD59" s="3"/>
      <c r="AE59" s="33"/>
      <c r="AF59" s="4"/>
      <c r="AG59" s="4"/>
      <c r="AH59" s="4"/>
      <c r="AI59" s="4"/>
      <c r="AJ59" s="4"/>
      <c r="AK59" s="3"/>
      <c r="AL59" s="3"/>
    </row>
    <row r="60" spans="1:45" x14ac:dyDescent="0.2">
      <c r="A60" s="1"/>
      <c r="B60" s="1"/>
      <c r="C60" s="4" t="s">
        <v>63</v>
      </c>
      <c r="D60" s="4"/>
      <c r="E60" s="25"/>
      <c r="F60" s="25"/>
      <c r="H60" s="4"/>
      <c r="I60" s="4"/>
      <c r="J60" s="4"/>
      <c r="K60" s="5">
        <f>Y55</f>
        <v>13.4609081994255</v>
      </c>
      <c r="L60" s="5">
        <f>Z55</f>
        <v>0.30191413227292069</v>
      </c>
      <c r="M60" s="41">
        <v>6.0705</v>
      </c>
      <c r="N60" s="41">
        <v>6.08E-2</v>
      </c>
      <c r="O60" s="42">
        <v>262.97210000000001</v>
      </c>
      <c r="P60" s="42">
        <v>3.5714000000000001</v>
      </c>
      <c r="Q60" s="20">
        <v>7159.51</v>
      </c>
      <c r="R60" s="1">
        <v>599.73090500000001</v>
      </c>
      <c r="S60" s="19">
        <v>4278.9879014939997</v>
      </c>
      <c r="T60" s="19">
        <v>482.18232</v>
      </c>
      <c r="U60" s="4"/>
      <c r="V60" s="3">
        <v>5873.5</v>
      </c>
      <c r="W60" s="3">
        <v>156.392</v>
      </c>
      <c r="X60" s="35"/>
      <c r="Y60" s="4"/>
      <c r="Z60" s="4"/>
      <c r="AA60" s="4"/>
      <c r="AB60" s="4"/>
      <c r="AC60" s="3"/>
      <c r="AD60" s="3"/>
      <c r="AE60" s="33"/>
      <c r="AF60" s="4"/>
      <c r="AG60" s="4"/>
      <c r="AH60" s="4"/>
      <c r="AI60" s="4"/>
      <c r="AJ60" s="4"/>
      <c r="AK60" s="3"/>
      <c r="AL60" s="3"/>
    </row>
    <row r="61" spans="1:45" x14ac:dyDescent="0.2">
      <c r="A61" s="1"/>
      <c r="B61" s="1"/>
      <c r="C61" s="1"/>
      <c r="D61" s="29"/>
      <c r="E61" s="2"/>
      <c r="F61" s="2"/>
      <c r="G61" s="21"/>
      <c r="H61" s="4"/>
      <c r="I61" s="4"/>
      <c r="J61" s="4"/>
      <c r="K61" s="3"/>
      <c r="L61" s="3"/>
      <c r="M61" s="5"/>
      <c r="N61" s="3"/>
      <c r="O61" s="18"/>
      <c r="P61" s="18"/>
      <c r="Q61" s="19">
        <v>3387</v>
      </c>
      <c r="R61" s="4">
        <v>874</v>
      </c>
      <c r="S61" s="19"/>
      <c r="T61" s="19"/>
      <c r="U61" s="4"/>
      <c r="V61" s="5"/>
      <c r="W61" s="5"/>
      <c r="X61" s="34"/>
      <c r="Y61" s="3"/>
      <c r="Z61" s="3"/>
      <c r="AA61" s="3"/>
      <c r="AB61" s="3"/>
      <c r="AC61" s="5"/>
      <c r="AD61" s="5"/>
      <c r="AE61" s="35"/>
      <c r="AF61" s="3"/>
      <c r="AG61" s="3"/>
      <c r="AH61" s="3"/>
      <c r="AI61" s="3"/>
      <c r="AJ61" s="3"/>
      <c r="AK61" s="5"/>
      <c r="AL61" s="5"/>
    </row>
    <row r="62" spans="1:45" x14ac:dyDescent="0.2">
      <c r="A62" s="1"/>
      <c r="B62" s="1" t="s">
        <v>25</v>
      </c>
      <c r="C62" s="1" t="s">
        <v>11</v>
      </c>
      <c r="D62" s="4"/>
      <c r="E62" s="25"/>
      <c r="F62" s="25"/>
      <c r="G62" s="4"/>
      <c r="H62" s="1"/>
      <c r="I62" s="1"/>
      <c r="J62" s="1"/>
      <c r="K62" s="4"/>
      <c r="L62" s="4"/>
      <c r="M62" s="4"/>
      <c r="N62" s="4"/>
      <c r="O62" s="4"/>
      <c r="P62" s="4"/>
      <c r="Q62" s="1"/>
      <c r="R62" s="1"/>
      <c r="S62" s="19"/>
      <c r="T62" s="19"/>
      <c r="U62" s="4"/>
      <c r="V62" s="5"/>
      <c r="W62" s="5"/>
      <c r="X62" s="34"/>
      <c r="Y62" s="3"/>
      <c r="Z62" s="3"/>
      <c r="AA62" s="3"/>
      <c r="AB62" s="3"/>
      <c r="AC62" s="5"/>
      <c r="AD62" s="5"/>
      <c r="AE62" s="35"/>
      <c r="AF62" s="3"/>
      <c r="AG62" s="3"/>
      <c r="AH62" s="3"/>
      <c r="AI62" s="3"/>
      <c r="AJ62" s="3"/>
      <c r="AK62" s="5"/>
      <c r="AL62" s="5"/>
    </row>
    <row r="63" spans="1:45" x14ac:dyDescent="0.2">
      <c r="A63" s="1"/>
      <c r="B63" s="1"/>
      <c r="C63" s="1"/>
      <c r="D63" s="7" t="s">
        <v>12</v>
      </c>
      <c r="E63" s="2">
        <v>0.35374285714285708</v>
      </c>
      <c r="F63" s="2">
        <v>2.8263050083103336E-3</v>
      </c>
      <c r="G63" s="5">
        <v>13.813583333333334</v>
      </c>
      <c r="H63" s="5">
        <v>3.6149711847629953E-2</v>
      </c>
      <c r="I63" s="5"/>
      <c r="J63" s="5"/>
      <c r="K63" s="5">
        <v>14.030455414689436</v>
      </c>
      <c r="L63" s="5">
        <v>0.15779043987090413</v>
      </c>
      <c r="M63" s="5">
        <v>6.5218999999999996</v>
      </c>
      <c r="N63" s="5">
        <v>4.0899999999999999E-2</v>
      </c>
      <c r="O63" s="18">
        <v>294.66129999999998</v>
      </c>
      <c r="P63" s="18">
        <v>2.3433000000000002</v>
      </c>
      <c r="Q63" s="19">
        <v>8191.9276454265</v>
      </c>
      <c r="R63" s="20">
        <v>424.18300399999998</v>
      </c>
      <c r="S63" s="19">
        <v>4492.0510940000004</v>
      </c>
      <c r="T63" s="19">
        <v>465.26494330000003</v>
      </c>
      <c r="U63" s="4"/>
      <c r="V63" s="5">
        <f>6.0185*1000</f>
        <v>6018.5</v>
      </c>
      <c r="W63" s="5">
        <f>0.0877*1000</f>
        <v>87.7</v>
      </c>
      <c r="X63" s="34"/>
      <c r="Y63" s="3"/>
      <c r="Z63" s="3"/>
      <c r="AA63" s="3"/>
      <c r="AB63" s="3"/>
      <c r="AC63" s="5"/>
      <c r="AD63" s="5"/>
      <c r="AE63" s="35"/>
      <c r="AF63" s="3"/>
      <c r="AG63" s="3"/>
      <c r="AH63" s="3"/>
      <c r="AI63" s="3"/>
      <c r="AJ63" s="3"/>
      <c r="AK63" s="5"/>
      <c r="AL63" s="5"/>
    </row>
    <row r="64" spans="1:45" x14ac:dyDescent="0.2">
      <c r="A64" s="1"/>
      <c r="B64" s="1"/>
      <c r="C64" s="1"/>
      <c r="D64" s="1" t="s">
        <v>23</v>
      </c>
      <c r="E64" s="2">
        <v>0.23562500000000003</v>
      </c>
      <c r="F64" s="30">
        <v>4.0100238985156252E-2</v>
      </c>
      <c r="G64" s="4"/>
      <c r="H64" s="4"/>
      <c r="I64" s="31">
        <v>14.661274014155591</v>
      </c>
      <c r="J64" s="31">
        <v>2.5196412873542875</v>
      </c>
      <c r="K64" s="4"/>
      <c r="L64" s="4"/>
      <c r="M64" s="4"/>
      <c r="N64" s="4"/>
      <c r="O64" s="1"/>
      <c r="P64" s="1"/>
      <c r="Q64" s="19"/>
      <c r="R64" s="20"/>
      <c r="S64" s="19"/>
      <c r="T64" s="19"/>
      <c r="U64" s="4"/>
      <c r="V64" s="5"/>
      <c r="W64" s="5"/>
      <c r="X64" s="34"/>
      <c r="Y64" s="5">
        <f>I74</f>
        <v>14.066528441359424</v>
      </c>
      <c r="Z64" s="5">
        <f>J74</f>
        <v>0.1439104896708753</v>
      </c>
      <c r="AA64" s="5">
        <f>AVERAGE(K65,K75)</f>
        <v>12.760000000000002</v>
      </c>
      <c r="AB64" s="5">
        <f>((L65^2/4)+(L75^2/4) + STDEV(K65,K75)^2)^(1/2)</f>
        <v>7.3824115301166768E-2</v>
      </c>
      <c r="AC64" s="5">
        <f>K70</f>
        <v>14.81</v>
      </c>
      <c r="AD64" s="5">
        <f>L70</f>
        <v>0.03</v>
      </c>
      <c r="AE64" s="40"/>
      <c r="AF64" s="3">
        <v>2313.26809542</v>
      </c>
      <c r="AG64" s="3">
        <v>239.25971620000001</v>
      </c>
      <c r="AH64" s="3">
        <v>13.123071289</v>
      </c>
      <c r="AI64" s="3">
        <v>1.80093200811</v>
      </c>
      <c r="AJ64" s="3">
        <v>10.0183571157781</v>
      </c>
      <c r="AK64" s="3">
        <v>0.99901743937143295</v>
      </c>
      <c r="AL64" s="3">
        <v>5355.5533459999997</v>
      </c>
      <c r="AM64" s="6">
        <v>1043.1148667499999</v>
      </c>
      <c r="AN64" s="6">
        <v>4536.3449570000002</v>
      </c>
      <c r="AO64" s="6">
        <v>628.84150375580896</v>
      </c>
      <c r="AP64" s="6">
        <v>1.2413273745085001</v>
      </c>
      <c r="AQ64" s="6">
        <v>0.38998387444499999</v>
      </c>
      <c r="AR64" s="6">
        <v>3.9081613899000001</v>
      </c>
      <c r="AS64" s="6">
        <v>1.0879000000000001</v>
      </c>
    </row>
    <row r="65" spans="1:45" x14ac:dyDescent="0.2">
      <c r="A65" s="1"/>
      <c r="B65" s="1"/>
      <c r="C65" s="1"/>
      <c r="D65" s="26" t="s">
        <v>22</v>
      </c>
      <c r="E65" s="2">
        <v>1.52844</v>
      </c>
      <c r="F65" s="2">
        <v>1.0737783756436857E-3</v>
      </c>
      <c r="G65" s="21"/>
      <c r="H65" s="21"/>
      <c r="I65" s="21"/>
      <c r="J65" s="21"/>
      <c r="K65" s="3">
        <v>12.71</v>
      </c>
      <c r="L65" s="3">
        <v>0.03</v>
      </c>
      <c r="M65" s="44">
        <v>6.6540534958626001</v>
      </c>
      <c r="N65" s="44">
        <v>7.5629086351999997E-2</v>
      </c>
      <c r="O65" s="45">
        <v>224.13867582699999</v>
      </c>
      <c r="P65" s="45">
        <v>2.849513077254</v>
      </c>
      <c r="Q65" s="4"/>
      <c r="R65" s="1"/>
      <c r="S65" s="19"/>
      <c r="T65" s="19"/>
      <c r="U65" s="4"/>
      <c r="V65" s="3">
        <v>5563.6358403000004</v>
      </c>
      <c r="W65" s="3">
        <v>69.303301470999997</v>
      </c>
      <c r="X65" s="35"/>
      <c r="Y65" s="4"/>
      <c r="Z65" s="4"/>
      <c r="AA65" s="4"/>
      <c r="AB65" s="4"/>
      <c r="AC65" s="3"/>
      <c r="AD65" s="3"/>
      <c r="AE65" s="33"/>
      <c r="AF65" s="4"/>
      <c r="AG65" s="4"/>
      <c r="AH65" s="4"/>
      <c r="AI65" s="4"/>
      <c r="AJ65" s="47"/>
      <c r="AK65" s="3"/>
      <c r="AL65" s="3"/>
    </row>
    <row r="66" spans="1:45" x14ac:dyDescent="0.2">
      <c r="A66" s="4"/>
      <c r="B66" s="4"/>
      <c r="C66" s="4"/>
      <c r="D66" s="4"/>
      <c r="E66" s="4"/>
      <c r="F66" s="4"/>
      <c r="G66" s="4"/>
      <c r="H66" s="4"/>
      <c r="I66" s="4"/>
      <c r="J66" s="4"/>
      <c r="K66" s="4"/>
      <c r="L66" s="4"/>
      <c r="M66" s="43"/>
      <c r="N66" s="43"/>
      <c r="O66" s="43"/>
      <c r="P66" s="43"/>
      <c r="Q66" s="4"/>
      <c r="R66" s="4"/>
      <c r="S66" s="4"/>
      <c r="T66" s="4"/>
      <c r="U66" s="4"/>
      <c r="V66" s="4"/>
      <c r="W66" s="4"/>
      <c r="X66" s="33"/>
      <c r="Y66" s="3" t="s">
        <v>62</v>
      </c>
      <c r="Z66" s="4"/>
      <c r="AA66" s="4"/>
      <c r="AB66" s="4"/>
      <c r="AC66" s="4"/>
      <c r="AD66" s="4"/>
      <c r="AE66" s="33"/>
      <c r="AF66" s="4"/>
      <c r="AG66" s="4"/>
      <c r="AH66" s="4" t="s">
        <v>60</v>
      </c>
      <c r="AI66" s="4"/>
      <c r="AJ66" s="4"/>
      <c r="AK66" s="4"/>
      <c r="AL66" s="4"/>
    </row>
    <row r="67" spans="1:45" x14ac:dyDescent="0.2">
      <c r="A67" s="1"/>
      <c r="B67" s="1" t="s">
        <v>17</v>
      </c>
      <c r="C67" s="1" t="s">
        <v>11</v>
      </c>
      <c r="D67" s="1"/>
      <c r="E67" s="2"/>
      <c r="F67" s="2"/>
      <c r="G67" s="1"/>
      <c r="H67" s="1"/>
      <c r="I67" s="1"/>
      <c r="J67" s="1"/>
      <c r="K67" s="4"/>
      <c r="L67" s="4"/>
      <c r="M67" s="43"/>
      <c r="N67" s="43"/>
      <c r="O67" s="43"/>
      <c r="P67" s="43"/>
      <c r="Q67" s="1"/>
      <c r="R67" s="1"/>
      <c r="S67" s="20"/>
      <c r="T67" s="20"/>
      <c r="U67" s="4"/>
      <c r="V67" s="4"/>
      <c r="W67" s="4"/>
      <c r="X67" s="33"/>
      <c r="Y67" s="3">
        <f>AVERAGE(K63,K68,K73)</f>
        <v>13.973248994683935</v>
      </c>
      <c r="Z67" s="5">
        <f>((L63^2/9)+(L68^2/9)+(L73^2/9)+ STDEV(K63,K68,K73)^2)^(1/2)</f>
        <v>0.15232037474480054</v>
      </c>
      <c r="AA67" s="4"/>
      <c r="AB67" s="4"/>
      <c r="AC67" s="4"/>
      <c r="AD67" s="4"/>
      <c r="AE67" s="33"/>
      <c r="AF67" s="4"/>
      <c r="AG67" s="4"/>
      <c r="AH67" s="4" t="s">
        <v>61</v>
      </c>
      <c r="AI67" s="4"/>
      <c r="AJ67" s="4"/>
      <c r="AK67" s="4"/>
      <c r="AL67" s="4"/>
    </row>
    <row r="68" spans="1:45" x14ac:dyDescent="0.2">
      <c r="A68" s="1"/>
      <c r="B68" s="1"/>
      <c r="C68" s="1"/>
      <c r="D68" s="7" t="s">
        <v>12</v>
      </c>
      <c r="E68" s="2">
        <v>0.44718571428571424</v>
      </c>
      <c r="F68" s="2">
        <v>5.5535059711346773E-3</v>
      </c>
      <c r="G68" s="5">
        <v>13.7705</v>
      </c>
      <c r="H68" s="5">
        <v>3.2091244911969352E-2</v>
      </c>
      <c r="I68" s="5"/>
      <c r="J68" s="5"/>
      <c r="K68" s="5">
        <v>14.022756797921407</v>
      </c>
      <c r="L68" s="5">
        <v>0.23867016966330196</v>
      </c>
      <c r="M68" s="41">
        <v>6.5011000000000001</v>
      </c>
      <c r="N68" s="41">
        <v>5.0900000000000001E-2</v>
      </c>
      <c r="O68" s="42">
        <v>293.4667</v>
      </c>
      <c r="P68" s="42">
        <v>3.1171000000000002</v>
      </c>
      <c r="Q68" s="19">
        <v>8178.7868628910001</v>
      </c>
      <c r="R68" s="20">
        <v>543.07959754299998</v>
      </c>
      <c r="S68" s="19">
        <v>4491.5447530000001</v>
      </c>
      <c r="T68" s="19">
        <v>466.83946773000002</v>
      </c>
      <c r="U68" s="4"/>
      <c r="V68" s="5">
        <f>6.0086*1000</f>
        <v>6008.6</v>
      </c>
      <c r="W68" s="5">
        <f>0.128*1000</f>
        <v>128</v>
      </c>
      <c r="X68" s="34"/>
      <c r="Y68" s="3"/>
      <c r="Z68" s="3"/>
      <c r="AA68" s="3"/>
      <c r="AB68" s="3"/>
      <c r="AC68" s="5"/>
      <c r="AD68" s="5"/>
      <c r="AE68" s="35"/>
      <c r="AF68" s="3"/>
      <c r="AG68" s="3"/>
      <c r="AH68" s="3"/>
      <c r="AI68" s="3"/>
      <c r="AJ68" s="3"/>
      <c r="AK68" s="5"/>
      <c r="AL68" s="5"/>
    </row>
    <row r="69" spans="1:45" x14ac:dyDescent="0.2">
      <c r="A69" s="1"/>
      <c r="B69" s="1"/>
      <c r="C69" s="1"/>
      <c r="D69" s="1" t="s">
        <v>23</v>
      </c>
      <c r="E69" s="2">
        <v>0.21165</v>
      </c>
      <c r="F69" s="2">
        <v>9.3504010609171111E-3</v>
      </c>
      <c r="G69" s="1"/>
      <c r="H69" s="1"/>
      <c r="I69" s="46">
        <v>14.823504692533996</v>
      </c>
      <c r="J69" s="46">
        <v>0.66723384746202519</v>
      </c>
      <c r="K69" s="4"/>
      <c r="L69" s="4"/>
      <c r="M69" s="43"/>
      <c r="N69" s="43"/>
      <c r="O69" s="43"/>
      <c r="P69" s="43"/>
      <c r="Q69" s="19"/>
      <c r="R69" s="20"/>
      <c r="S69" s="20"/>
      <c r="T69" s="20"/>
      <c r="U69" s="4"/>
      <c r="V69" s="4"/>
      <c r="W69" s="4"/>
      <c r="X69" s="33"/>
      <c r="Y69" s="3"/>
      <c r="Z69" s="3"/>
      <c r="AA69" s="3"/>
      <c r="AB69" s="3"/>
      <c r="AC69" s="3"/>
      <c r="AD69" s="3"/>
      <c r="AE69" s="35"/>
      <c r="AF69" s="3"/>
      <c r="AG69" s="3"/>
      <c r="AH69" s="3"/>
      <c r="AI69" s="3"/>
      <c r="AJ69" s="3"/>
      <c r="AK69" s="3"/>
      <c r="AL69" s="3"/>
    </row>
    <row r="70" spans="1:45" x14ac:dyDescent="0.2">
      <c r="A70" s="1"/>
      <c r="B70" s="1"/>
      <c r="C70" s="1"/>
      <c r="D70" s="27" t="s">
        <v>14</v>
      </c>
      <c r="E70" s="2">
        <v>1.01172</v>
      </c>
      <c r="F70" s="2">
        <v>2.4283739415502078E-3</v>
      </c>
      <c r="G70" s="21"/>
      <c r="H70" s="21"/>
      <c r="I70" s="21"/>
      <c r="J70" s="21"/>
      <c r="K70" s="3">
        <v>14.81</v>
      </c>
      <c r="L70" s="3">
        <v>0.03</v>
      </c>
      <c r="M70" s="44">
        <v>9.2081821283000007</v>
      </c>
      <c r="N70" s="44">
        <v>6.0063234930000001E-2</v>
      </c>
      <c r="O70" s="45">
        <v>113.5708435</v>
      </c>
      <c r="P70" s="45">
        <v>1.00878795363</v>
      </c>
      <c r="Q70" s="4"/>
      <c r="R70" s="1"/>
      <c r="S70" s="19"/>
      <c r="T70" s="19"/>
      <c r="U70" s="4"/>
      <c r="V70" s="3">
        <v>2202.8384898899999</v>
      </c>
      <c r="W70" s="3">
        <v>20.80742587288</v>
      </c>
      <c r="X70" s="35"/>
      <c r="Y70" s="4"/>
      <c r="Z70" s="4"/>
      <c r="AA70" s="4"/>
      <c r="AB70" s="4"/>
      <c r="AC70" s="3"/>
      <c r="AD70" s="3"/>
      <c r="AE70" s="33"/>
      <c r="AF70" s="4"/>
      <c r="AG70" s="4"/>
      <c r="AH70" s="4"/>
      <c r="AI70" s="4"/>
      <c r="AJ70" s="4"/>
      <c r="AK70" s="3"/>
      <c r="AL70" s="3"/>
    </row>
    <row r="71" spans="1:45" x14ac:dyDescent="0.2">
      <c r="A71" s="1"/>
      <c r="B71" s="1"/>
      <c r="C71" s="1"/>
      <c r="D71" s="4"/>
      <c r="E71" s="2"/>
      <c r="F71" s="2"/>
      <c r="G71" s="1"/>
      <c r="H71" s="1"/>
      <c r="I71" s="1"/>
      <c r="J71" s="1"/>
      <c r="K71" s="3"/>
      <c r="L71" s="3"/>
      <c r="M71" s="44"/>
      <c r="N71" s="44"/>
      <c r="O71" s="45"/>
      <c r="P71" s="45"/>
      <c r="Q71" s="4"/>
      <c r="R71" s="1"/>
      <c r="S71" s="20"/>
      <c r="T71" s="20"/>
      <c r="U71" s="4"/>
      <c r="V71" s="3"/>
      <c r="W71" s="3"/>
      <c r="X71" s="35"/>
      <c r="Y71" s="3"/>
      <c r="Z71" s="3"/>
      <c r="AA71" s="3"/>
      <c r="AB71" s="3"/>
      <c r="AC71" s="3"/>
      <c r="AD71" s="3"/>
      <c r="AE71" s="35"/>
      <c r="AF71" s="3"/>
      <c r="AG71" s="3"/>
      <c r="AH71" s="3"/>
      <c r="AI71" s="3"/>
      <c r="AJ71" s="3"/>
      <c r="AK71" s="3"/>
      <c r="AL71" s="3"/>
    </row>
    <row r="72" spans="1:45" x14ac:dyDescent="0.2">
      <c r="A72" s="1"/>
      <c r="B72" s="1" t="s">
        <v>26</v>
      </c>
      <c r="C72" s="1" t="s">
        <v>11</v>
      </c>
      <c r="D72" s="4"/>
      <c r="E72" s="25"/>
      <c r="F72" s="25"/>
      <c r="G72" s="4"/>
      <c r="H72" s="1"/>
      <c r="I72" s="1"/>
      <c r="J72" s="1"/>
      <c r="K72" s="4"/>
      <c r="L72" s="4"/>
      <c r="M72" s="44"/>
      <c r="N72" s="44"/>
      <c r="O72" s="45"/>
      <c r="P72" s="45"/>
      <c r="Q72" s="1"/>
      <c r="R72" s="1"/>
      <c r="S72" s="20"/>
      <c r="T72" s="20"/>
      <c r="U72" s="4"/>
      <c r="V72" s="3"/>
      <c r="W72" s="3"/>
      <c r="X72" s="35"/>
      <c r="Y72" s="4"/>
      <c r="Z72" s="4"/>
      <c r="AA72" s="4"/>
      <c r="AB72" s="4"/>
      <c r="AC72" s="3"/>
      <c r="AD72" s="3"/>
      <c r="AE72" s="33"/>
      <c r="AF72" s="4"/>
      <c r="AG72" s="4"/>
      <c r="AH72" s="4"/>
      <c r="AI72" s="4"/>
      <c r="AJ72" s="4"/>
      <c r="AK72" s="3"/>
      <c r="AL72" s="3"/>
    </row>
    <row r="73" spans="1:45" x14ac:dyDescent="0.2">
      <c r="A73" s="1"/>
      <c r="B73" s="1"/>
      <c r="C73" s="1"/>
      <c r="D73" s="7" t="s">
        <v>12</v>
      </c>
      <c r="E73" s="2">
        <v>0.44055714285714292</v>
      </c>
      <c r="F73" s="2">
        <v>2.1384239857561308E-3</v>
      </c>
      <c r="G73" s="5">
        <v>13.776033333333336</v>
      </c>
      <c r="H73" s="5">
        <v>1.7893108543049197E-2</v>
      </c>
      <c r="I73" s="5"/>
      <c r="J73" s="5"/>
      <c r="K73" s="5">
        <v>13.866534771440959</v>
      </c>
      <c r="L73" s="5">
        <v>0.22349573809944417</v>
      </c>
      <c r="M73" s="41">
        <v>6.5358000000000001</v>
      </c>
      <c r="N73" s="41">
        <v>4.5999999999999999E-2</v>
      </c>
      <c r="O73" s="42">
        <v>291.83940000000001</v>
      </c>
      <c r="P73" s="42">
        <v>2.8483999999999998</v>
      </c>
      <c r="Q73" s="19">
        <v>7895.4506939050798</v>
      </c>
      <c r="R73" s="20">
        <v>501.76273959000002</v>
      </c>
      <c r="S73" s="19">
        <v>4439.9604760000002</v>
      </c>
      <c r="T73" s="19">
        <v>471.25670807</v>
      </c>
      <c r="U73" s="4"/>
      <c r="V73" s="5">
        <f>6.0943*1000</f>
        <v>6094.2999999999993</v>
      </c>
      <c r="W73" s="5">
        <f>0.1237*1000</f>
        <v>123.7</v>
      </c>
      <c r="X73" s="34"/>
      <c r="Y73" s="3"/>
      <c r="Z73" s="3"/>
      <c r="AA73" s="3"/>
      <c r="AB73" s="3"/>
      <c r="AC73" s="5"/>
      <c r="AD73" s="5"/>
      <c r="AE73" s="35"/>
      <c r="AF73" s="3"/>
      <c r="AG73" s="3"/>
      <c r="AH73" s="3"/>
      <c r="AI73" s="3"/>
      <c r="AJ73" s="3"/>
      <c r="AK73" s="5"/>
      <c r="AL73" s="5"/>
    </row>
    <row r="74" spans="1:45" x14ac:dyDescent="0.2">
      <c r="A74" s="1"/>
      <c r="B74" s="1"/>
      <c r="C74" s="1"/>
      <c r="D74" s="1" t="s">
        <v>24</v>
      </c>
      <c r="E74" s="2">
        <v>0.7802</v>
      </c>
      <c r="F74" s="2">
        <v>5.6550862062394883E-3</v>
      </c>
      <c r="G74" s="1"/>
      <c r="H74" s="1"/>
      <c r="I74" s="5">
        <v>14.066528441359424</v>
      </c>
      <c r="J74" s="5">
        <v>0.1439104896708753</v>
      </c>
      <c r="K74" s="4"/>
      <c r="L74" s="4"/>
      <c r="M74" s="43"/>
      <c r="N74" s="43"/>
      <c r="O74" s="43"/>
      <c r="P74" s="43"/>
      <c r="Q74" s="19"/>
      <c r="R74" s="20"/>
      <c r="S74" s="20"/>
      <c r="T74" s="20"/>
      <c r="U74" s="4"/>
      <c r="V74" s="4"/>
      <c r="W74" s="4"/>
      <c r="X74" s="33"/>
      <c r="Y74" s="3"/>
      <c r="Z74" s="3"/>
      <c r="AA74" s="3"/>
      <c r="AB74" s="3"/>
      <c r="AC74" s="3"/>
      <c r="AD74" s="3"/>
      <c r="AE74" s="35"/>
      <c r="AF74" s="3"/>
      <c r="AG74" s="3"/>
      <c r="AH74" s="3"/>
      <c r="AI74" s="3"/>
      <c r="AJ74" s="3"/>
      <c r="AK74" s="3"/>
      <c r="AL74" s="3"/>
    </row>
    <row r="75" spans="1:45" x14ac:dyDescent="0.2">
      <c r="A75" s="1"/>
      <c r="B75" s="1"/>
      <c r="C75" s="1"/>
      <c r="D75" s="26" t="s">
        <v>22</v>
      </c>
      <c r="E75" s="2">
        <v>1.52702</v>
      </c>
      <c r="F75" s="2">
        <v>4.1472882706658374E-4</v>
      </c>
      <c r="G75" s="21"/>
      <c r="H75" s="21"/>
      <c r="I75" s="21"/>
      <c r="J75" s="21"/>
      <c r="K75" s="3">
        <v>12.81</v>
      </c>
      <c r="L75" s="3">
        <v>0.03</v>
      </c>
      <c r="M75" s="44">
        <v>6.72217760531273</v>
      </c>
      <c r="N75" s="44">
        <v>7.9322099051800002E-2</v>
      </c>
      <c r="O75" s="45">
        <v>228.3650006364</v>
      </c>
      <c r="P75" s="45">
        <v>2.9874640606031</v>
      </c>
      <c r="Q75" s="3"/>
      <c r="R75" s="1"/>
      <c r="S75" s="19"/>
      <c r="T75" s="19"/>
      <c r="U75" s="4"/>
      <c r="V75" s="3">
        <v>5577.44573838</v>
      </c>
      <c r="W75" s="3">
        <v>72.424586221021997</v>
      </c>
      <c r="X75" s="35"/>
      <c r="Y75" s="4"/>
      <c r="Z75" s="4"/>
      <c r="AA75" s="4"/>
      <c r="AB75" s="4"/>
      <c r="AC75" s="3"/>
      <c r="AD75" s="3"/>
      <c r="AE75" s="33"/>
      <c r="AF75" s="4"/>
      <c r="AG75" s="4"/>
      <c r="AH75" s="4"/>
      <c r="AI75" s="4"/>
      <c r="AJ75" s="4"/>
      <c r="AK75" s="3"/>
      <c r="AL75" s="3"/>
    </row>
    <row r="76" spans="1:45" x14ac:dyDescent="0.2">
      <c r="A76" s="1"/>
      <c r="B76" s="1"/>
      <c r="C76" s="1"/>
      <c r="D76" s="1"/>
      <c r="E76" s="2"/>
      <c r="F76" s="2"/>
      <c r="G76" s="21"/>
      <c r="H76" s="21"/>
      <c r="I76" s="21"/>
      <c r="J76" s="21"/>
      <c r="K76" s="3"/>
      <c r="L76" s="3"/>
      <c r="M76" s="5"/>
      <c r="N76" s="3"/>
      <c r="O76" s="18"/>
      <c r="P76" s="18"/>
      <c r="Q76" s="3"/>
      <c r="R76" s="1"/>
      <c r="S76" s="20"/>
      <c r="T76" s="20"/>
      <c r="U76" s="4"/>
      <c r="V76" s="3"/>
      <c r="W76" s="3"/>
      <c r="X76" s="35"/>
      <c r="Y76" s="3"/>
      <c r="Z76" s="3"/>
      <c r="AA76" s="3"/>
      <c r="AB76" s="3"/>
      <c r="AC76" s="3"/>
      <c r="AD76" s="3"/>
      <c r="AE76" s="35"/>
      <c r="AF76" s="3"/>
      <c r="AG76" s="3"/>
      <c r="AH76" s="3"/>
      <c r="AI76" s="3"/>
      <c r="AJ76" s="3"/>
      <c r="AK76" s="3"/>
      <c r="AL76" s="3"/>
    </row>
    <row r="77" spans="1:45" x14ac:dyDescent="0.2">
      <c r="A77" s="4"/>
      <c r="B77" s="4"/>
      <c r="C77" s="4" t="s">
        <v>63</v>
      </c>
      <c r="D77" s="4"/>
      <c r="E77" s="25"/>
      <c r="F77" s="25"/>
      <c r="H77" s="4"/>
      <c r="I77" s="4"/>
      <c r="J77" s="4"/>
      <c r="K77" s="5">
        <f>Y67</f>
        <v>13.973248994683935</v>
      </c>
      <c r="L77" s="5">
        <f>Z67</f>
        <v>0.15232037474480054</v>
      </c>
      <c r="M77" s="4">
        <v>6.5343</v>
      </c>
      <c r="N77" s="4">
        <v>3.5700000000000003E-2</v>
      </c>
      <c r="O77" s="4">
        <v>293.88749999999999</v>
      </c>
      <c r="P77" s="4">
        <v>2.1053999999999999</v>
      </c>
      <c r="Q77" s="4">
        <v>8080.4224067679997</v>
      </c>
      <c r="R77" s="4">
        <v>405.25428929999998</v>
      </c>
      <c r="S77" s="4">
        <v>4479.6849644000004</v>
      </c>
      <c r="T77" s="4">
        <v>463.95715000000001</v>
      </c>
      <c r="U77" s="4"/>
      <c r="V77" s="4">
        <v>6052.2</v>
      </c>
      <c r="W77" s="4">
        <v>82.922399999999996</v>
      </c>
      <c r="X77" s="33"/>
      <c r="Y77" s="4"/>
      <c r="Z77" s="4"/>
      <c r="AA77" s="4"/>
      <c r="AB77" s="4"/>
      <c r="AC77" s="4"/>
      <c r="AD77" s="4"/>
      <c r="AE77" s="33"/>
      <c r="AF77" s="4"/>
      <c r="AG77" s="4"/>
      <c r="AH77" s="4"/>
      <c r="AI77" s="4"/>
      <c r="AJ77" s="4"/>
      <c r="AK77" s="4"/>
      <c r="AL77" s="4"/>
    </row>
    <row r="78" spans="1:45" x14ac:dyDescent="0.2">
      <c r="A78" s="4"/>
      <c r="B78" s="4"/>
      <c r="C78" s="4"/>
      <c r="D78" s="4"/>
      <c r="E78" s="25"/>
      <c r="F78" s="25"/>
      <c r="H78" s="4"/>
      <c r="I78" s="4"/>
      <c r="J78" s="4"/>
      <c r="K78" s="5"/>
      <c r="L78" s="5"/>
      <c r="M78" s="4"/>
      <c r="N78" s="4"/>
      <c r="O78" s="4"/>
      <c r="P78" s="4"/>
      <c r="Q78" s="19">
        <v>3674</v>
      </c>
      <c r="R78" s="4">
        <v>942</v>
      </c>
      <c r="S78" s="4"/>
      <c r="T78" s="4"/>
      <c r="U78" s="4"/>
      <c r="V78" s="4"/>
      <c r="W78" s="4"/>
      <c r="X78" s="33"/>
      <c r="Y78" s="4"/>
      <c r="Z78" s="4"/>
      <c r="AA78" s="4"/>
      <c r="AB78" s="4"/>
      <c r="AC78" s="4"/>
      <c r="AD78" s="4"/>
      <c r="AE78" s="33"/>
      <c r="AF78" s="4"/>
      <c r="AG78" s="4"/>
      <c r="AH78" s="4"/>
      <c r="AI78" s="4"/>
      <c r="AJ78" s="4"/>
      <c r="AK78" s="4"/>
      <c r="AL78" s="4"/>
    </row>
    <row r="79" spans="1:45" x14ac:dyDescent="0.2">
      <c r="A79" s="8">
        <v>3172</v>
      </c>
      <c r="B79" s="9"/>
      <c r="C79" s="9"/>
      <c r="D79" s="9"/>
      <c r="E79" s="10"/>
      <c r="F79" s="10"/>
      <c r="G79" s="9"/>
      <c r="H79" s="9"/>
      <c r="I79" s="9"/>
      <c r="J79" s="9"/>
      <c r="K79" s="9"/>
      <c r="L79" s="11"/>
      <c r="M79" s="9"/>
      <c r="N79" s="9"/>
      <c r="O79" s="9"/>
      <c r="P79" s="9"/>
      <c r="Q79" s="9"/>
      <c r="R79" s="9"/>
      <c r="S79" s="9"/>
      <c r="T79" s="9"/>
      <c r="U79" s="4"/>
      <c r="V79" s="12"/>
      <c r="W79" s="12"/>
      <c r="X79" s="33"/>
      <c r="Y79" s="10"/>
      <c r="Z79" s="10"/>
      <c r="AA79" s="10"/>
      <c r="AB79" s="10"/>
      <c r="AC79" s="12"/>
      <c r="AD79" s="12"/>
      <c r="AE79" s="38"/>
      <c r="AF79" s="10"/>
      <c r="AG79" s="10"/>
      <c r="AH79" s="10"/>
      <c r="AI79" s="10"/>
      <c r="AJ79" s="10"/>
      <c r="AK79" s="12"/>
      <c r="AL79" s="12"/>
      <c r="AM79" s="12"/>
      <c r="AN79" s="12"/>
      <c r="AO79" s="12"/>
      <c r="AP79" s="12"/>
      <c r="AQ79" s="12"/>
      <c r="AR79" s="12"/>
      <c r="AS79" s="12"/>
    </row>
    <row r="80" spans="1:45" x14ac:dyDescent="0.2">
      <c r="A80" s="1"/>
      <c r="B80" s="1" t="s">
        <v>10</v>
      </c>
      <c r="C80" s="1" t="s">
        <v>11</v>
      </c>
      <c r="D80" s="4"/>
      <c r="E80" s="25"/>
      <c r="F80" s="25"/>
      <c r="G80" s="1"/>
      <c r="H80" s="1"/>
      <c r="I80" s="1"/>
      <c r="J80" s="1"/>
      <c r="K80" s="1"/>
      <c r="L80" s="3"/>
      <c r="M80" s="1"/>
      <c r="N80" s="1"/>
      <c r="O80" s="1"/>
      <c r="P80" s="1"/>
      <c r="Q80" s="1"/>
      <c r="R80" s="1"/>
      <c r="S80" s="1"/>
      <c r="T80" s="1"/>
      <c r="U80" s="4"/>
      <c r="V80" s="5"/>
      <c r="W80" s="5"/>
      <c r="X80" s="34"/>
      <c r="Y80" s="4"/>
      <c r="Z80" s="4"/>
      <c r="AA80" s="4"/>
      <c r="AB80" s="4"/>
      <c r="AC80" s="5"/>
      <c r="AD80" s="5"/>
      <c r="AE80" s="33"/>
      <c r="AF80" s="4"/>
      <c r="AG80" s="4"/>
      <c r="AH80" s="4"/>
      <c r="AI80" s="4"/>
      <c r="AJ80" s="4"/>
      <c r="AK80" s="5"/>
      <c r="AL80" s="5"/>
    </row>
    <row r="81" spans="1:45" x14ac:dyDescent="0.2">
      <c r="A81" s="1"/>
      <c r="B81" s="1"/>
      <c r="C81" s="1"/>
      <c r="D81" s="7" t="s">
        <v>27</v>
      </c>
      <c r="E81" s="2">
        <v>0.33625000000000005</v>
      </c>
      <c r="F81" s="2">
        <v>3.5355339059327408E-4</v>
      </c>
      <c r="G81" s="5">
        <v>17.844849999999997</v>
      </c>
      <c r="H81" s="5">
        <v>7.7029215236819231E-3</v>
      </c>
      <c r="I81" s="5"/>
      <c r="J81" s="5"/>
      <c r="K81" s="5">
        <v>16.482843137254925</v>
      </c>
      <c r="L81" s="5">
        <v>0.21016880448663383</v>
      </c>
      <c r="M81" s="5">
        <v>8.4131</v>
      </c>
      <c r="N81" s="5">
        <v>4.5999999999999999E-2</v>
      </c>
      <c r="O81" s="18">
        <v>446.39019999999999</v>
      </c>
      <c r="P81" s="18">
        <v>3.5728</v>
      </c>
      <c r="Q81" s="19">
        <v>13693.505313</v>
      </c>
      <c r="R81" s="20">
        <v>704.34062717899997</v>
      </c>
      <c r="S81" s="19">
        <v>5299.9981322000003</v>
      </c>
      <c r="T81" s="19">
        <v>461.08688494590001</v>
      </c>
      <c r="U81" s="4"/>
      <c r="V81" s="5">
        <f>6.5828*1000</f>
        <v>6582.8</v>
      </c>
      <c r="W81" s="5">
        <f>0.1250889*1000</f>
        <v>125.08890000000001</v>
      </c>
      <c r="X81" s="34"/>
      <c r="Y81" s="4"/>
      <c r="Z81" s="4"/>
      <c r="AA81" s="4"/>
      <c r="AB81" s="4"/>
      <c r="AC81" s="5"/>
      <c r="AD81" s="5"/>
      <c r="AE81" s="33"/>
      <c r="AF81" s="4"/>
      <c r="AG81" s="4"/>
      <c r="AH81" s="4"/>
      <c r="AI81" s="4"/>
      <c r="AJ81" s="4"/>
      <c r="AK81" s="5"/>
      <c r="AL81" s="5"/>
    </row>
    <row r="82" spans="1:45" x14ac:dyDescent="0.2">
      <c r="A82" s="1"/>
      <c r="B82" s="1"/>
      <c r="C82" s="1"/>
      <c r="D82" s="1" t="s">
        <v>28</v>
      </c>
      <c r="E82" s="30">
        <v>0.80785000000000007</v>
      </c>
      <c r="F82" s="2">
        <v>2.4959967948697389E-3</v>
      </c>
      <c r="G82" s="1"/>
      <c r="H82" s="1"/>
      <c r="I82" s="5">
        <v>18.333490931785075</v>
      </c>
      <c r="J82" s="5">
        <v>0.12577229418940308</v>
      </c>
      <c r="K82" s="4"/>
      <c r="L82" s="4"/>
      <c r="M82" s="4"/>
      <c r="N82" s="4"/>
      <c r="O82" s="4"/>
      <c r="P82" s="4"/>
      <c r="Q82" s="19"/>
      <c r="R82" s="20"/>
      <c r="S82" s="19"/>
      <c r="T82" s="19"/>
      <c r="U82" s="4"/>
      <c r="V82" s="4"/>
      <c r="W82" s="4"/>
      <c r="X82" s="33"/>
      <c r="Y82" s="5">
        <f>AVERAGE(I82,I87,I92)</f>
        <v>18.169665861964141</v>
      </c>
      <c r="Z82" s="5">
        <f>((J82^2/9)+(J87^2/9)+(J92^2/9)+ STDEV(I82,I87,I92)^2)^(1/2)</f>
        <v>0.27162778776985796</v>
      </c>
      <c r="AA82" s="5">
        <f>AVERAGE(K83,K88,K93)</f>
        <v>14.816666666666665</v>
      </c>
      <c r="AB82" s="5">
        <f>((L83^2/9)+(L88^2/9) + (L93^2/9) +STDEV(K83,K88,K93)^2)^(1/2)</f>
        <v>0.19578900207451219</v>
      </c>
      <c r="AC82" s="5"/>
      <c r="AD82" s="5"/>
      <c r="AE82" s="34"/>
      <c r="AF82" s="5">
        <v>2115.87194782289</v>
      </c>
      <c r="AG82" s="5">
        <v>1023.709669</v>
      </c>
      <c r="AH82" s="5"/>
      <c r="AI82" s="5"/>
      <c r="AJ82" s="5"/>
      <c r="AK82" s="3"/>
      <c r="AL82" s="3"/>
      <c r="AP82" s="6">
        <v>1.03113856221975</v>
      </c>
      <c r="AQ82" s="6">
        <v>0.35847167226849302</v>
      </c>
      <c r="AR82" s="6">
        <v>4.8536359677087502</v>
      </c>
      <c r="AS82" s="6">
        <v>1.219752321978</v>
      </c>
    </row>
    <row r="83" spans="1:45" x14ac:dyDescent="0.2">
      <c r="A83" s="4"/>
      <c r="B83" s="1"/>
      <c r="C83" s="1"/>
      <c r="D83" s="26" t="s">
        <v>29</v>
      </c>
      <c r="E83" s="2">
        <v>1.5252600000000001</v>
      </c>
      <c r="F83" s="2">
        <v>6.1073725938413882E-4</v>
      </c>
      <c r="G83" s="21"/>
      <c r="H83" s="21"/>
      <c r="I83" s="21"/>
      <c r="J83" s="21"/>
      <c r="K83" s="3">
        <v>14.6</v>
      </c>
      <c r="L83" s="3">
        <v>0.1</v>
      </c>
      <c r="M83" s="41">
        <v>7.8003999999999998</v>
      </c>
      <c r="N83" s="41">
        <v>0.28833999999999999</v>
      </c>
      <c r="O83" s="42">
        <v>299.52999999999997</v>
      </c>
      <c r="P83" s="42">
        <v>11.201000000000001</v>
      </c>
      <c r="Q83" s="4"/>
      <c r="R83" s="4"/>
      <c r="S83" s="19"/>
      <c r="T83" s="19"/>
      <c r="U83" s="4"/>
      <c r="V83" s="3">
        <f>(K83/(K83-M83))*$AO$3/1000</f>
        <v>0</v>
      </c>
      <c r="W83" s="3">
        <f>AVERAGE(ABS(V83-((K83-L83)/((K83-L83)-(M83-N83)))*$AO$3/1000),ABS(V83-((K83+L83)/((K83+L83)-(M83+N83)))*$AO$3/1000))</f>
        <v>0</v>
      </c>
      <c r="X83" s="35"/>
      <c r="Y83" s="4"/>
      <c r="Z83" s="4"/>
      <c r="AA83" s="4"/>
      <c r="AB83" s="4"/>
      <c r="AC83" s="3"/>
      <c r="AD83" s="3"/>
      <c r="AE83" s="33"/>
      <c r="AF83" s="4">
        <v>2077</v>
      </c>
      <c r="AG83" s="4">
        <v>229</v>
      </c>
      <c r="AH83" s="4"/>
      <c r="AI83" s="4"/>
      <c r="AJ83" s="4"/>
      <c r="AK83" s="3"/>
      <c r="AL83" s="3"/>
    </row>
    <row r="84" spans="1:45" x14ac:dyDescent="0.2">
      <c r="A84" s="4"/>
      <c r="B84" s="1"/>
      <c r="C84" s="1"/>
      <c r="D84" s="1"/>
      <c r="E84" s="2"/>
      <c r="F84" s="2"/>
      <c r="G84" s="21"/>
      <c r="H84" s="21"/>
      <c r="I84" s="21"/>
      <c r="J84" s="21"/>
      <c r="K84" s="3"/>
      <c r="L84" s="3"/>
      <c r="M84" s="41"/>
      <c r="N84" s="41"/>
      <c r="O84" s="42"/>
      <c r="P84" s="42"/>
      <c r="Q84" s="4"/>
      <c r="R84" s="4"/>
      <c r="S84" s="19"/>
      <c r="T84" s="19"/>
      <c r="U84" s="4"/>
      <c r="V84" s="5"/>
      <c r="W84" s="5"/>
      <c r="X84" s="34"/>
      <c r="Y84" s="3" t="s">
        <v>62</v>
      </c>
      <c r="Z84" s="4"/>
      <c r="AA84" s="4"/>
      <c r="AB84" s="4"/>
      <c r="AC84" s="4"/>
      <c r="AD84" s="4"/>
      <c r="AE84" s="35"/>
      <c r="AF84" s="5"/>
      <c r="AG84" s="3"/>
      <c r="AH84" s="3"/>
      <c r="AI84" s="3"/>
      <c r="AJ84" s="3"/>
      <c r="AK84" s="5"/>
      <c r="AL84" s="5"/>
    </row>
    <row r="85" spans="1:45" x14ac:dyDescent="0.2">
      <c r="A85" s="1"/>
      <c r="B85" s="1" t="s">
        <v>30</v>
      </c>
      <c r="C85" s="1" t="s">
        <v>11</v>
      </c>
      <c r="D85" s="4"/>
      <c r="E85" s="25"/>
      <c r="F85" s="25"/>
      <c r="G85" s="1"/>
      <c r="H85" s="1"/>
      <c r="I85" s="1"/>
      <c r="J85" s="1"/>
      <c r="K85" s="1"/>
      <c r="L85" s="3"/>
      <c r="M85" s="43"/>
      <c r="N85" s="43"/>
      <c r="O85" s="42"/>
      <c r="P85" s="42"/>
      <c r="Q85" s="1"/>
      <c r="R85" s="1"/>
      <c r="S85" s="19"/>
      <c r="T85" s="19"/>
      <c r="U85" s="4"/>
      <c r="V85" s="5"/>
      <c r="W85" s="5"/>
      <c r="X85" s="34"/>
      <c r="Y85" s="3">
        <f>AVERAGE(K81,K86,K91)</f>
        <v>16.490244913599685</v>
      </c>
      <c r="Z85" s="5">
        <f>((L81^2/9)+(L86^2/9)+(L91^2/9)+ STDEV(K81,K86,K91)^2)^(1/2)</f>
        <v>0.1304038713859271</v>
      </c>
      <c r="AA85" s="4"/>
      <c r="AB85" s="4"/>
      <c r="AC85" s="4"/>
      <c r="AD85" s="4"/>
      <c r="AE85" s="33"/>
      <c r="AF85" s="4"/>
      <c r="AG85" s="4"/>
      <c r="AH85" s="4"/>
      <c r="AI85" s="4"/>
      <c r="AJ85" s="4"/>
      <c r="AK85" s="5"/>
      <c r="AL85" s="5"/>
    </row>
    <row r="86" spans="1:45" x14ac:dyDescent="0.2">
      <c r="A86" s="1"/>
      <c r="B86" s="1"/>
      <c r="C86" s="1"/>
      <c r="D86" s="7" t="s">
        <v>31</v>
      </c>
      <c r="E86" s="2">
        <v>0.33500000000000002</v>
      </c>
      <c r="F86" s="2">
        <v>5.0000000000000001E-4</v>
      </c>
      <c r="G86" s="5">
        <v>17.7805</v>
      </c>
      <c r="H86" s="5">
        <v>2.0513410247932459E-2</v>
      </c>
      <c r="I86" s="5"/>
      <c r="J86" s="5"/>
      <c r="K86" s="5">
        <v>16.403476557718239</v>
      </c>
      <c r="L86" s="5">
        <v>0.14286292322452898</v>
      </c>
      <c r="M86" s="41">
        <v>8.3940999999999999</v>
      </c>
      <c r="N86" s="41">
        <v>3.5200000000000002E-2</v>
      </c>
      <c r="O86" s="42">
        <v>443.20929999999998</v>
      </c>
      <c r="P86" s="42">
        <v>2.5379</v>
      </c>
      <c r="Q86" s="19">
        <v>13476.73047</v>
      </c>
      <c r="R86" s="20">
        <v>565.19101720000003</v>
      </c>
      <c r="S86" s="19">
        <v>5275.5306456500002</v>
      </c>
      <c r="T86" s="19">
        <v>454.65097610999999</v>
      </c>
      <c r="U86" s="4"/>
      <c r="V86" s="5">
        <f>6.598*1000</f>
        <v>6598</v>
      </c>
      <c r="W86" s="5">
        <f>0.0861644*1000</f>
        <v>86.164400000000001</v>
      </c>
      <c r="X86" s="34"/>
      <c r="Y86" s="4"/>
      <c r="Z86" s="4"/>
      <c r="AA86" s="4"/>
      <c r="AB86" s="4"/>
      <c r="AC86" s="5"/>
      <c r="AD86" s="5"/>
      <c r="AE86" s="33"/>
      <c r="AF86" s="4"/>
      <c r="AG86" s="4"/>
      <c r="AH86" s="4"/>
      <c r="AI86" s="4"/>
      <c r="AJ86" s="4"/>
      <c r="AK86" s="5"/>
      <c r="AL86" s="5"/>
    </row>
    <row r="87" spans="1:45" x14ac:dyDescent="0.2">
      <c r="A87" s="1"/>
      <c r="B87" s="1"/>
      <c r="C87" s="1"/>
      <c r="D87" s="1" t="s">
        <v>32</v>
      </c>
      <c r="E87" s="2">
        <v>0.50492500000000007</v>
      </c>
      <c r="F87" s="2">
        <v>2.1515498289992824E-3</v>
      </c>
      <c r="G87" s="1"/>
      <c r="H87" s="1"/>
      <c r="I87" s="5">
        <v>17.907523163541274</v>
      </c>
      <c r="J87" s="5">
        <v>0.24875059376608138</v>
      </c>
      <c r="K87" s="4"/>
      <c r="L87" s="4"/>
      <c r="M87" s="43"/>
      <c r="N87" s="43"/>
      <c r="O87" s="43"/>
      <c r="P87" s="43"/>
      <c r="Q87" s="19"/>
      <c r="R87" s="20"/>
      <c r="S87" s="19"/>
      <c r="T87" s="19"/>
      <c r="U87" s="4"/>
      <c r="V87" s="4"/>
      <c r="W87" s="4"/>
      <c r="X87" s="33"/>
      <c r="Y87" s="5"/>
      <c r="Z87" s="5"/>
      <c r="AA87" s="5"/>
      <c r="AB87" s="5"/>
      <c r="AC87" s="3"/>
      <c r="AD87" s="3"/>
      <c r="AE87" s="34"/>
      <c r="AF87" s="5"/>
      <c r="AG87" s="5"/>
      <c r="AH87" s="5"/>
      <c r="AI87" s="5"/>
      <c r="AJ87" s="5"/>
      <c r="AK87" s="3"/>
      <c r="AL87" s="3"/>
    </row>
    <row r="88" spans="1:45" x14ac:dyDescent="0.2">
      <c r="A88" s="4"/>
      <c r="B88" s="1"/>
      <c r="C88" s="1"/>
      <c r="D88" s="26" t="s">
        <v>29</v>
      </c>
      <c r="E88" s="2">
        <v>1.52746</v>
      </c>
      <c r="F88" s="2">
        <v>6.5421708935185449E-4</v>
      </c>
      <c r="G88" s="21"/>
      <c r="H88" s="21"/>
      <c r="I88" s="21"/>
      <c r="J88" s="21"/>
      <c r="K88" s="3">
        <v>14.95</v>
      </c>
      <c r="L88" s="3">
        <v>0.1</v>
      </c>
      <c r="M88" s="41">
        <v>7.7910000000000004</v>
      </c>
      <c r="N88" s="41">
        <v>0.30348999999999998</v>
      </c>
      <c r="O88" s="42">
        <v>298.8</v>
      </c>
      <c r="P88" s="42">
        <v>12.313000000000001</v>
      </c>
      <c r="Q88" s="4"/>
      <c r="R88" s="4"/>
      <c r="S88" s="19"/>
      <c r="T88" s="19"/>
      <c r="U88" s="4"/>
      <c r="V88" s="3">
        <f>(K88/(K88-M88))*$AO$3/1000</f>
        <v>0</v>
      </c>
      <c r="W88" s="3">
        <f>AVERAGE(ABS(V88-((K88-L88)/((K88-L88)-(M88-N88)))*$AO$3/1000),ABS(V88-((K88+L88)/((K88+L88)-(M88+N88)))*$AO$3/1000))</f>
        <v>0</v>
      </c>
      <c r="X88" s="35"/>
      <c r="Y88" s="4"/>
      <c r="Z88" s="4"/>
      <c r="AA88" s="4"/>
      <c r="AB88" s="4"/>
      <c r="AC88" s="3"/>
      <c r="AD88" s="3"/>
      <c r="AE88" s="33"/>
      <c r="AF88" s="4"/>
      <c r="AG88" s="4"/>
      <c r="AH88" s="4"/>
      <c r="AI88" s="4"/>
      <c r="AJ88" s="4"/>
      <c r="AK88" s="3"/>
      <c r="AL88" s="3"/>
    </row>
    <row r="89" spans="1:45" x14ac:dyDescent="0.2">
      <c r="A89" s="4"/>
      <c r="B89" s="1"/>
      <c r="C89" s="1"/>
      <c r="D89" s="1"/>
      <c r="E89" s="2"/>
      <c r="F89" s="2"/>
      <c r="G89" s="21"/>
      <c r="H89" s="21"/>
      <c r="I89" s="21"/>
      <c r="J89" s="21"/>
      <c r="K89" s="3"/>
      <c r="L89" s="3"/>
      <c r="M89" s="43"/>
      <c r="N89" s="43"/>
      <c r="O89" s="42"/>
      <c r="P89" s="42"/>
      <c r="Q89" s="4"/>
      <c r="R89" s="4"/>
      <c r="S89" s="19"/>
      <c r="T89" s="19"/>
      <c r="U89" s="4"/>
      <c r="V89" s="5"/>
      <c r="W89" s="5"/>
      <c r="X89" s="34"/>
      <c r="Y89" s="3"/>
      <c r="Z89" s="3"/>
      <c r="AA89" s="3"/>
      <c r="AB89" s="3"/>
      <c r="AC89" s="5"/>
      <c r="AD89" s="5"/>
      <c r="AE89" s="35"/>
      <c r="AF89" s="5"/>
      <c r="AG89" s="3"/>
      <c r="AH89" s="3"/>
      <c r="AI89" s="3"/>
      <c r="AJ89" s="3"/>
      <c r="AK89" s="5"/>
      <c r="AL89" s="5"/>
    </row>
    <row r="90" spans="1:45" x14ac:dyDescent="0.2">
      <c r="A90" s="1"/>
      <c r="B90" s="1" t="s">
        <v>33</v>
      </c>
      <c r="C90" s="1" t="s">
        <v>11</v>
      </c>
      <c r="D90" s="4"/>
      <c r="E90" s="25"/>
      <c r="F90" s="25"/>
      <c r="G90" s="4"/>
      <c r="H90" s="1"/>
      <c r="I90" s="1"/>
      <c r="J90" s="1"/>
      <c r="K90" s="3"/>
      <c r="L90" s="3"/>
      <c r="M90" s="43"/>
      <c r="N90" s="43"/>
      <c r="O90" s="42"/>
      <c r="P90" s="42"/>
      <c r="Q90" s="1"/>
      <c r="R90" s="1"/>
      <c r="S90" s="19"/>
      <c r="T90" s="19"/>
      <c r="U90" s="4"/>
      <c r="V90" s="5"/>
      <c r="W90" s="5"/>
      <c r="X90" s="34"/>
      <c r="Y90" s="5"/>
      <c r="Z90" s="5"/>
      <c r="AA90" s="5"/>
      <c r="AB90" s="5"/>
      <c r="AC90" s="5"/>
      <c r="AD90" s="5"/>
      <c r="AE90" s="34"/>
      <c r="AF90" s="5"/>
      <c r="AG90" s="5"/>
      <c r="AH90" s="5"/>
      <c r="AI90" s="5"/>
      <c r="AJ90" s="5"/>
      <c r="AK90" s="5"/>
      <c r="AL90" s="5"/>
    </row>
    <row r="91" spans="1:45" x14ac:dyDescent="0.2">
      <c r="A91" s="1"/>
      <c r="B91" s="1"/>
      <c r="C91" s="1"/>
      <c r="D91" s="7" t="s">
        <v>31</v>
      </c>
      <c r="E91" s="2">
        <v>0.33325000000000005</v>
      </c>
      <c r="F91" s="2">
        <v>1.0606601717798223E-3</v>
      </c>
      <c r="G91" s="5">
        <v>17.796033333333334</v>
      </c>
      <c r="H91" s="5">
        <v>3.2156160633176924E-2</v>
      </c>
      <c r="I91" s="5"/>
      <c r="J91" s="5"/>
      <c r="K91" s="5">
        <v>16.584415045825896</v>
      </c>
      <c r="L91" s="5">
        <v>0.1201408393726173</v>
      </c>
      <c r="M91" s="41">
        <v>8.3680000000000003</v>
      </c>
      <c r="N91" s="41">
        <v>3.4000000000000002E-2</v>
      </c>
      <c r="O91" s="42">
        <v>446.74619999999999</v>
      </c>
      <c r="P91" s="42">
        <v>2.3536999999999999</v>
      </c>
      <c r="Q91" s="19">
        <v>13945.63463006</v>
      </c>
      <c r="R91" s="20">
        <v>548.67360068000005</v>
      </c>
      <c r="S91" s="19">
        <v>5330.8925018</v>
      </c>
      <c r="T91" s="19">
        <v>459.75720419999999</v>
      </c>
      <c r="U91" s="4"/>
      <c r="V91" s="5">
        <f>6.5015*1000</f>
        <v>6501.5</v>
      </c>
      <c r="W91" s="5">
        <f>0.0706721*1000</f>
        <v>70.6721</v>
      </c>
      <c r="X91" s="34"/>
      <c r="Y91" s="5"/>
      <c r="Z91" s="5"/>
      <c r="AA91" s="5"/>
      <c r="AB91" s="5"/>
      <c r="AC91" s="5"/>
      <c r="AD91" s="5"/>
      <c r="AE91" s="34"/>
      <c r="AF91" s="5"/>
      <c r="AG91" s="5"/>
      <c r="AH91" s="5"/>
      <c r="AI91" s="5"/>
      <c r="AJ91" s="5"/>
      <c r="AK91" s="5"/>
      <c r="AL91" s="5"/>
    </row>
    <row r="92" spans="1:45" x14ac:dyDescent="0.2">
      <c r="A92" s="1"/>
      <c r="B92" s="1"/>
      <c r="C92" s="1"/>
      <c r="D92" s="1" t="s">
        <v>34</v>
      </c>
      <c r="E92" s="2">
        <v>0.30982499999999996</v>
      </c>
      <c r="F92" s="2">
        <v>2.7932955446927049E-3</v>
      </c>
      <c r="G92" s="1"/>
      <c r="H92" s="1"/>
      <c r="I92" s="5">
        <v>18.267983490566074</v>
      </c>
      <c r="J92" s="5">
        <v>0.33590512085906427</v>
      </c>
      <c r="K92" s="4"/>
      <c r="L92" s="4"/>
      <c r="M92" s="43"/>
      <c r="N92" s="43"/>
      <c r="O92" s="43"/>
      <c r="P92" s="43"/>
      <c r="Q92" s="19"/>
      <c r="R92" s="20"/>
      <c r="S92" s="19"/>
      <c r="T92" s="19"/>
      <c r="U92" s="3"/>
      <c r="V92" s="4"/>
      <c r="W92" s="4"/>
      <c r="X92" s="33"/>
      <c r="Y92" s="3"/>
      <c r="Z92" s="3"/>
      <c r="AA92" s="3"/>
      <c r="AB92" s="3"/>
      <c r="AC92" s="3"/>
      <c r="AD92" s="3"/>
      <c r="AE92" s="35"/>
      <c r="AF92" s="5"/>
      <c r="AG92" s="3"/>
      <c r="AH92" s="3"/>
      <c r="AI92" s="3"/>
      <c r="AJ92" s="3"/>
      <c r="AK92" s="3"/>
      <c r="AL92" s="3"/>
    </row>
    <row r="93" spans="1:45" x14ac:dyDescent="0.2">
      <c r="A93" s="1"/>
      <c r="B93" s="1"/>
      <c r="C93" s="1"/>
      <c r="D93" s="26" t="s">
        <v>29</v>
      </c>
      <c r="E93" s="2">
        <v>1.5293199999999998</v>
      </c>
      <c r="F93" s="2">
        <v>9.6540147089176857E-4</v>
      </c>
      <c r="G93" s="21"/>
      <c r="H93" s="21"/>
      <c r="I93" s="21"/>
      <c r="J93" s="21"/>
      <c r="K93" s="3">
        <v>14.9</v>
      </c>
      <c r="L93" s="3">
        <v>0.05</v>
      </c>
      <c r="M93" s="44">
        <v>8.2708999999999993</v>
      </c>
      <c r="N93" s="44">
        <v>0.29518</v>
      </c>
      <c r="O93" s="45">
        <v>332.95</v>
      </c>
      <c r="P93" s="45">
        <v>12.265000000000001</v>
      </c>
      <c r="Q93" s="3"/>
      <c r="R93" s="3"/>
      <c r="S93" s="4"/>
      <c r="T93" s="19"/>
      <c r="U93" s="3"/>
      <c r="V93" s="3">
        <f>(K93/(K93-M93))*$AO$3/1000</f>
        <v>0</v>
      </c>
      <c r="W93" s="3">
        <f>AVERAGE(ABS(V93-((K93-L93)/((K93-L93)-(M93-N93)))*$AO$3/1000),ABS(V93-((K93+L93)/((K93+L93)-(M93+N93)))*$AO$3/1000))</f>
        <v>0</v>
      </c>
      <c r="X93" s="35"/>
      <c r="Y93" s="4"/>
      <c r="Z93" s="4"/>
      <c r="AA93" s="4"/>
      <c r="AB93" s="4"/>
      <c r="AC93" s="3"/>
      <c r="AD93" s="3"/>
      <c r="AE93" s="33"/>
      <c r="AF93" s="4"/>
      <c r="AG93" s="4"/>
      <c r="AH93" s="4"/>
      <c r="AI93" s="4"/>
      <c r="AJ93" s="4"/>
      <c r="AK93" s="3"/>
      <c r="AL93" s="3"/>
    </row>
    <row r="94" spans="1:45" x14ac:dyDescent="0.2">
      <c r="A94" s="1"/>
      <c r="B94" s="1"/>
      <c r="C94" s="1"/>
      <c r="D94" s="26"/>
      <c r="E94" s="2"/>
      <c r="F94" s="2"/>
      <c r="G94" s="21"/>
      <c r="H94" s="21"/>
      <c r="I94" s="21"/>
      <c r="J94" s="21"/>
      <c r="K94" s="3"/>
      <c r="L94" s="3"/>
      <c r="M94" s="44"/>
      <c r="N94" s="44"/>
      <c r="O94" s="45"/>
      <c r="P94" s="45"/>
      <c r="Q94" s="3"/>
      <c r="R94" s="3"/>
      <c r="S94" s="4"/>
      <c r="T94" s="19"/>
      <c r="U94" s="3"/>
      <c r="V94" s="3"/>
      <c r="W94" s="3"/>
      <c r="X94" s="35"/>
      <c r="Y94" s="4"/>
      <c r="Z94" s="4"/>
      <c r="AA94" s="4"/>
      <c r="AB94" s="4"/>
      <c r="AC94" s="3"/>
      <c r="AD94" s="3"/>
      <c r="AE94" s="33"/>
      <c r="AF94" s="4"/>
      <c r="AG94" s="4"/>
      <c r="AH94" s="4"/>
      <c r="AI94" s="4"/>
      <c r="AJ94" s="4"/>
      <c r="AK94" s="3"/>
      <c r="AL94" s="3"/>
    </row>
    <row r="95" spans="1:45" x14ac:dyDescent="0.2">
      <c r="A95" s="1"/>
      <c r="B95" s="1"/>
      <c r="C95" s="4" t="s">
        <v>63</v>
      </c>
      <c r="D95" s="4"/>
      <c r="E95" s="25"/>
      <c r="F95" s="25"/>
      <c r="H95" s="4"/>
      <c r="I95" s="4"/>
      <c r="J95" s="4"/>
      <c r="K95" s="5">
        <v>16.490244913599685</v>
      </c>
      <c r="L95" s="5">
        <v>0.1304038713859271</v>
      </c>
      <c r="M95" s="41">
        <v>8.3865999999999996</v>
      </c>
      <c r="N95" s="44">
        <v>3.5499999999999997E-2</v>
      </c>
      <c r="O95" s="42">
        <v>445.3125</v>
      </c>
      <c r="P95" s="42">
        <v>2.4878999999999998</v>
      </c>
      <c r="Q95" s="20">
        <v>13717</v>
      </c>
      <c r="R95" s="20">
        <v>555</v>
      </c>
      <c r="S95" s="3">
        <v>5303.2285000000002</v>
      </c>
      <c r="T95" s="3">
        <v>456.39387119999998</v>
      </c>
      <c r="U95" s="3"/>
      <c r="V95" s="3">
        <v>6553.5</v>
      </c>
      <c r="W95" s="3">
        <v>78.386700000000005</v>
      </c>
      <c r="X95" s="35"/>
      <c r="Y95" s="3"/>
      <c r="Z95" s="3"/>
      <c r="AA95" s="3"/>
      <c r="AB95" s="3"/>
      <c r="AC95" s="3"/>
      <c r="AD95" s="3"/>
      <c r="AE95" s="34"/>
      <c r="AF95" s="5"/>
      <c r="AG95" s="3"/>
      <c r="AH95" s="3"/>
      <c r="AI95" s="3"/>
      <c r="AJ95" s="3"/>
      <c r="AK95" s="3"/>
      <c r="AL95" s="3"/>
    </row>
    <row r="96" spans="1:45" x14ac:dyDescent="0.2">
      <c r="A96" s="1"/>
      <c r="B96" s="1"/>
      <c r="C96" s="4"/>
      <c r="D96" s="4"/>
      <c r="E96" s="25"/>
      <c r="F96" s="25"/>
      <c r="H96" s="4"/>
      <c r="I96" s="4"/>
      <c r="J96" s="4"/>
      <c r="K96" s="5"/>
      <c r="L96" s="5"/>
      <c r="M96" s="41"/>
      <c r="N96" s="44"/>
      <c r="O96" s="42"/>
      <c r="P96" s="42"/>
      <c r="Q96" s="20">
        <v>5642</v>
      </c>
      <c r="R96" s="20">
        <v>1500</v>
      </c>
      <c r="S96" s="3"/>
      <c r="T96" s="3"/>
      <c r="U96" s="3"/>
      <c r="V96" s="3"/>
      <c r="W96" s="3"/>
      <c r="X96" s="35"/>
      <c r="Y96" s="3"/>
      <c r="Z96" s="3"/>
      <c r="AA96" s="3"/>
      <c r="AB96" s="3"/>
      <c r="AC96" s="3"/>
      <c r="AD96" s="3"/>
      <c r="AE96" s="34"/>
      <c r="AF96" s="5"/>
      <c r="AG96" s="3"/>
      <c r="AH96" s="3"/>
      <c r="AI96" s="3"/>
      <c r="AJ96" s="3"/>
      <c r="AK96" s="3"/>
      <c r="AL96" s="3"/>
    </row>
    <row r="97" spans="1:45" x14ac:dyDescent="0.2">
      <c r="A97" s="8">
        <v>3422</v>
      </c>
      <c r="B97" s="9"/>
      <c r="C97" s="9"/>
      <c r="D97" s="9"/>
      <c r="E97" s="10"/>
      <c r="F97" s="10"/>
      <c r="G97" s="9"/>
      <c r="H97" s="9"/>
      <c r="I97" s="9"/>
      <c r="J97" s="9"/>
      <c r="K97" s="9"/>
      <c r="L97" s="11"/>
      <c r="M97" s="11"/>
      <c r="N97" s="11"/>
      <c r="O97" s="11"/>
      <c r="P97" s="11"/>
      <c r="Q97" s="11"/>
      <c r="R97" s="9"/>
      <c r="S97" s="9"/>
      <c r="T97" s="9"/>
      <c r="U97" s="4"/>
      <c r="V97" s="12"/>
      <c r="W97" s="12"/>
      <c r="X97" s="33"/>
      <c r="Y97" s="10"/>
      <c r="Z97" s="10"/>
      <c r="AA97" s="10"/>
      <c r="AB97" s="10"/>
      <c r="AC97" s="12"/>
      <c r="AD97" s="12"/>
      <c r="AE97" s="38"/>
      <c r="AF97" s="10"/>
      <c r="AG97" s="10"/>
      <c r="AH97" s="10"/>
      <c r="AI97" s="10"/>
      <c r="AJ97" s="10"/>
      <c r="AK97" s="12"/>
      <c r="AL97" s="12"/>
      <c r="AM97" s="12"/>
      <c r="AN97" s="12"/>
      <c r="AO97" s="12"/>
      <c r="AP97" s="12"/>
      <c r="AQ97" s="12"/>
      <c r="AR97" s="12"/>
      <c r="AS97" s="12"/>
    </row>
    <row r="98" spans="1:45" x14ac:dyDescent="0.2">
      <c r="A98" s="1"/>
      <c r="B98" s="1" t="s">
        <v>25</v>
      </c>
      <c r="C98" s="1" t="s">
        <v>11</v>
      </c>
      <c r="D98" s="4"/>
      <c r="E98" s="25"/>
      <c r="F98" s="25"/>
      <c r="G98" s="1"/>
      <c r="H98" s="1"/>
      <c r="I98" s="1"/>
      <c r="J98" s="1"/>
      <c r="K98" s="1"/>
      <c r="L98" s="3"/>
      <c r="M98" s="54"/>
      <c r="N98" s="54"/>
      <c r="O98" s="54"/>
      <c r="P98" s="54"/>
      <c r="Q98" s="1"/>
      <c r="R98" s="1"/>
      <c r="S98" s="1"/>
      <c r="T98" s="1"/>
      <c r="U98" s="4"/>
      <c r="V98" s="5"/>
      <c r="W98" s="5"/>
      <c r="X98" s="34"/>
      <c r="Y98" s="4"/>
      <c r="Z98" s="4"/>
      <c r="AA98" s="4"/>
      <c r="AB98" s="4"/>
      <c r="AC98" s="5"/>
      <c r="AD98" s="5"/>
      <c r="AE98" s="33"/>
      <c r="AF98" s="4"/>
      <c r="AG98" s="4"/>
      <c r="AH98" s="4"/>
      <c r="AI98" s="4"/>
      <c r="AJ98" s="4"/>
      <c r="AK98" s="5"/>
      <c r="AL98" s="5"/>
    </row>
    <row r="99" spans="1:45" x14ac:dyDescent="0.2">
      <c r="A99" s="1"/>
      <c r="B99" s="1"/>
      <c r="C99" s="1"/>
      <c r="D99" s="7" t="s">
        <v>27</v>
      </c>
      <c r="E99" s="2">
        <v>0.34139999999999998</v>
      </c>
      <c r="F99" s="2">
        <v>1.74E-3</v>
      </c>
      <c r="G99" s="5">
        <v>17.32</v>
      </c>
      <c r="H99" s="5">
        <v>7.7029215236819231E-3</v>
      </c>
      <c r="I99" s="5"/>
      <c r="J99" s="5"/>
      <c r="K99" s="5">
        <v>16.343725689665522</v>
      </c>
      <c r="L99" s="5">
        <v>0.14916672762525571</v>
      </c>
      <c r="M99" s="41">
        <v>8.1331000000000007</v>
      </c>
      <c r="N99" s="41">
        <v>3.4500000000000003E-2</v>
      </c>
      <c r="O99" s="42">
        <v>427.90219999999999</v>
      </c>
      <c r="P99" s="42">
        <v>2.5286</v>
      </c>
      <c r="Q99" s="19">
        <v>13326.47371</v>
      </c>
      <c r="R99" s="20">
        <v>573.91628790000004</v>
      </c>
      <c r="S99" s="19">
        <v>5266.3633520000003</v>
      </c>
      <c r="T99" s="19">
        <v>454.83773236000002</v>
      </c>
      <c r="U99" s="4"/>
      <c r="V99" s="5">
        <f>6.4128*1000</f>
        <v>6412.8</v>
      </c>
      <c r="W99" s="5">
        <f>0.0836875*1000</f>
        <v>83.6875</v>
      </c>
      <c r="X99" s="34"/>
      <c r="Y99" s="4"/>
      <c r="Z99" s="4"/>
      <c r="AA99" s="4"/>
      <c r="AB99" s="4"/>
      <c r="AC99" s="5"/>
      <c r="AD99" s="5"/>
      <c r="AE99" s="33"/>
      <c r="AF99" s="4"/>
      <c r="AG99" s="4"/>
      <c r="AH99" s="4"/>
      <c r="AI99" s="4"/>
      <c r="AJ99" s="4"/>
      <c r="AK99" s="5"/>
      <c r="AL99" s="5"/>
    </row>
    <row r="100" spans="1:45" x14ac:dyDescent="0.2">
      <c r="A100" s="1"/>
      <c r="B100" s="1"/>
      <c r="C100" s="1"/>
      <c r="D100" s="1" t="s">
        <v>38</v>
      </c>
      <c r="E100" s="2">
        <v>0.50609999999999999</v>
      </c>
      <c r="F100" s="2">
        <v>2.7799999999999999E-3</v>
      </c>
      <c r="G100" s="1"/>
      <c r="H100" s="1"/>
      <c r="I100" s="5">
        <v>17.761789866198708</v>
      </c>
      <c r="J100" s="5">
        <v>0.15091131460424329</v>
      </c>
      <c r="K100" s="4"/>
      <c r="L100" s="4"/>
      <c r="M100" s="43"/>
      <c r="N100" s="43"/>
      <c r="O100" s="43"/>
      <c r="P100" s="43"/>
      <c r="Q100" s="19"/>
      <c r="R100" s="20"/>
      <c r="S100" s="19"/>
      <c r="T100" s="19"/>
      <c r="U100" s="4"/>
      <c r="V100" s="4"/>
      <c r="W100" s="4"/>
      <c r="X100" s="33"/>
      <c r="Y100" s="5">
        <f>AVERAGE(I100,I105,I110,I115)</f>
        <v>17.871358898047173</v>
      </c>
      <c r="Z100" s="5">
        <f>((J100^2/16)+(J105^2/16)+(J110^2/16)+(J115^2/16)+ STDEV(I100,I105,I110,I115)^2)^(1/2)</f>
        <v>0.16179152257096177</v>
      </c>
      <c r="AA100" s="5">
        <f>AVERAGE(K101,K106)</f>
        <v>14.555</v>
      </c>
      <c r="AB100" s="5">
        <f>((L101^2/4)+(L106^2/4) + STDEV(K101,K106)^2)^(1/2)</f>
        <v>3.9686269665968832E-2</v>
      </c>
      <c r="AC100" s="5">
        <f>K116</f>
        <v>17.38</v>
      </c>
      <c r="AD100" s="5">
        <f>L116</f>
        <v>0.05</v>
      </c>
      <c r="AE100" s="34"/>
      <c r="AF100" s="5">
        <v>2101.4982584999998</v>
      </c>
      <c r="AG100" s="5">
        <v>176.97170052999999</v>
      </c>
      <c r="AH100" s="5">
        <v>14.74114041779</v>
      </c>
      <c r="AI100" s="5">
        <v>1.5533240829999999</v>
      </c>
      <c r="AJ100" s="5">
        <v>11.594462483799999</v>
      </c>
      <c r="AK100" s="3">
        <v>0.853586018</v>
      </c>
      <c r="AL100" s="3">
        <v>6421.5918656000003</v>
      </c>
      <c r="AM100" s="6">
        <v>1544.2551900000001</v>
      </c>
      <c r="AN100" s="6">
        <v>4938.7888090783499</v>
      </c>
      <c r="AO100" s="6">
        <v>612.01449008999998</v>
      </c>
      <c r="AP100" s="6">
        <v>0.96783914394655202</v>
      </c>
      <c r="AQ100" s="6">
        <v>0.26477120549299998</v>
      </c>
      <c r="AR100" s="6">
        <v>5.1608042848090001</v>
      </c>
      <c r="AS100" s="6">
        <v>1.0574576897000001</v>
      </c>
    </row>
    <row r="101" spans="1:45" x14ac:dyDescent="0.2">
      <c r="A101" s="4"/>
      <c r="B101" s="1"/>
      <c r="C101" s="1"/>
      <c r="D101" s="26" t="s">
        <v>37</v>
      </c>
      <c r="E101" s="2">
        <v>1.5510999999999999</v>
      </c>
      <c r="F101" s="2">
        <v>3.6999999999999999E-4</v>
      </c>
      <c r="G101" s="21"/>
      <c r="H101" s="21"/>
      <c r="I101" s="21"/>
      <c r="J101" s="21"/>
      <c r="K101" s="3">
        <v>14.56</v>
      </c>
      <c r="L101" s="3">
        <v>0.05</v>
      </c>
      <c r="M101" s="41">
        <v>7.9621076471752303</v>
      </c>
      <c r="N101" s="41">
        <v>0.11461474052801</v>
      </c>
      <c r="O101" s="42">
        <v>307.26000530699997</v>
      </c>
      <c r="P101" s="42">
        <v>4.9704118425820001</v>
      </c>
      <c r="Q101" s="4"/>
      <c r="R101" s="4"/>
      <c r="S101" s="19"/>
      <c r="T101" s="19"/>
      <c r="U101" s="4"/>
      <c r="V101" s="3">
        <v>5846.3053992806899</v>
      </c>
      <c r="W101" s="3">
        <v>98.568474956100005</v>
      </c>
      <c r="X101" s="35"/>
      <c r="Y101" s="4"/>
      <c r="Z101" s="4"/>
      <c r="AA101" s="4"/>
      <c r="AB101" s="4"/>
      <c r="AC101" s="3"/>
      <c r="AD101" s="3"/>
      <c r="AE101" s="33"/>
      <c r="AF101" s="4"/>
      <c r="AG101" s="4"/>
      <c r="AH101" s="4"/>
      <c r="AI101" s="4"/>
      <c r="AJ101" s="4"/>
      <c r="AK101" s="3"/>
      <c r="AL101" s="3"/>
    </row>
    <row r="102" spans="1:45" x14ac:dyDescent="0.2">
      <c r="A102" s="4"/>
      <c r="B102" s="1"/>
      <c r="C102" s="1"/>
      <c r="D102" s="1"/>
      <c r="E102" s="2"/>
      <c r="F102" s="2"/>
      <c r="G102" s="21"/>
      <c r="H102" s="21"/>
      <c r="I102" s="21"/>
      <c r="J102" s="21"/>
      <c r="K102" s="3"/>
      <c r="L102" s="3"/>
      <c r="M102" s="41"/>
      <c r="N102" s="41"/>
      <c r="O102" s="42"/>
      <c r="P102" s="42"/>
      <c r="Q102" s="4"/>
      <c r="R102" s="4"/>
      <c r="S102" s="19"/>
      <c r="T102" s="19"/>
      <c r="U102" s="4"/>
      <c r="V102" s="5"/>
      <c r="W102" s="5"/>
      <c r="X102" s="34"/>
      <c r="Y102" s="3" t="s">
        <v>62</v>
      </c>
      <c r="Z102" s="4"/>
      <c r="AA102" s="3"/>
      <c r="AB102" s="3"/>
      <c r="AC102" s="5"/>
      <c r="AD102" s="5"/>
      <c r="AE102" s="35"/>
      <c r="AF102" s="5"/>
      <c r="AG102" s="3"/>
      <c r="AH102" s="3" t="s">
        <v>54</v>
      </c>
      <c r="AI102" s="3"/>
      <c r="AJ102" s="3"/>
      <c r="AK102" s="5"/>
      <c r="AL102" s="5"/>
    </row>
    <row r="103" spans="1:45" x14ac:dyDescent="0.2">
      <c r="A103" s="1"/>
      <c r="B103" s="1" t="s">
        <v>17</v>
      </c>
      <c r="C103" s="1" t="s">
        <v>11</v>
      </c>
      <c r="D103" s="4"/>
      <c r="E103" s="25"/>
      <c r="F103" s="25"/>
      <c r="G103" s="1"/>
      <c r="H103" s="1"/>
      <c r="I103" s="1"/>
      <c r="J103" s="1"/>
      <c r="K103" s="1"/>
      <c r="L103" s="3"/>
      <c r="M103" s="43"/>
      <c r="N103" s="43"/>
      <c r="O103" s="42"/>
      <c r="P103" s="42"/>
      <c r="Q103" s="1"/>
      <c r="R103" s="1"/>
      <c r="S103" s="19"/>
      <c r="T103" s="19"/>
      <c r="U103" s="4"/>
      <c r="V103" s="5"/>
      <c r="W103" s="5"/>
      <c r="X103" s="34"/>
      <c r="Y103" s="3">
        <f>AVERAGE(K99,K104,K109,K114)</f>
        <v>16.317114527022269</v>
      </c>
      <c r="Z103" s="5">
        <f>((L99^2/16)+(L104^2/16)+(L109^2/16)+(L114^2/16)+ STDEV(K99,K104,K109,K114)^2)^(1/2)</f>
        <v>9.8825677134344786E-2</v>
      </c>
      <c r="AA103" s="4"/>
      <c r="AB103" s="4"/>
      <c r="AC103" s="5"/>
      <c r="AD103" s="5"/>
      <c r="AE103" s="33"/>
      <c r="AF103" s="4"/>
      <c r="AG103" s="4"/>
      <c r="AH103" s="4" t="s">
        <v>55</v>
      </c>
      <c r="AI103" s="4"/>
      <c r="AJ103" s="4"/>
      <c r="AK103" s="5"/>
      <c r="AL103" s="5"/>
    </row>
    <row r="104" spans="1:45" x14ac:dyDescent="0.2">
      <c r="A104" s="1"/>
      <c r="B104" s="1"/>
      <c r="C104" s="1"/>
      <c r="D104" s="7" t="s">
        <v>31</v>
      </c>
      <c r="E104" s="2">
        <v>0.33150000000000002</v>
      </c>
      <c r="F104" s="2">
        <v>5.31E-4</v>
      </c>
      <c r="G104" s="5">
        <v>17.34</v>
      </c>
      <c r="H104" s="5">
        <v>2.0513410247932459E-2</v>
      </c>
      <c r="I104" s="5"/>
      <c r="J104" s="5"/>
      <c r="K104" s="5">
        <v>16.294597140867594</v>
      </c>
      <c r="L104" s="5">
        <v>0.14585413815901002</v>
      </c>
      <c r="M104" s="41">
        <v>8.1550999999999991</v>
      </c>
      <c r="N104" s="41">
        <v>3.6200000000000003E-2</v>
      </c>
      <c r="O104" s="42">
        <v>427.73680000000002</v>
      </c>
      <c r="P104" s="42">
        <v>2.6076999999999999</v>
      </c>
      <c r="Q104" s="19">
        <v>13203.123269</v>
      </c>
      <c r="R104" s="20">
        <v>572.88175969999998</v>
      </c>
      <c r="S104" s="19">
        <v>5243.8016358138002</v>
      </c>
      <c r="T104" s="19">
        <v>454.30201099300001</v>
      </c>
      <c r="U104" s="4"/>
      <c r="V104" s="5">
        <f>6.4499*1000</f>
        <v>6449.9000000000005</v>
      </c>
      <c r="W104" s="5">
        <f>0.0856568*1000</f>
        <v>85.656800000000004</v>
      </c>
      <c r="X104" s="34"/>
      <c r="Y104" s="4"/>
      <c r="Z104" s="4"/>
      <c r="AA104" s="4"/>
      <c r="AB104" s="4"/>
      <c r="AC104" s="5"/>
      <c r="AD104" s="5"/>
      <c r="AE104" s="33"/>
      <c r="AF104" s="4"/>
      <c r="AG104" s="4"/>
      <c r="AH104" s="4"/>
      <c r="AI104" s="4"/>
      <c r="AJ104" s="4"/>
      <c r="AK104" s="5"/>
      <c r="AL104" s="5"/>
    </row>
    <row r="105" spans="1:45" x14ac:dyDescent="0.2">
      <c r="A105" s="1"/>
      <c r="B105" s="1"/>
      <c r="C105" s="1"/>
      <c r="D105" s="1" t="s">
        <v>35</v>
      </c>
      <c r="E105" s="2">
        <v>0.31730000000000003</v>
      </c>
      <c r="F105" s="2">
        <v>6.9080000000000001E-3</v>
      </c>
      <c r="G105" s="1"/>
      <c r="H105" s="1"/>
      <c r="I105" s="5">
        <v>17.86263839369489</v>
      </c>
      <c r="J105" s="5">
        <v>0.42436946536935205</v>
      </c>
      <c r="K105" s="4"/>
      <c r="L105" s="4"/>
      <c r="M105" s="43"/>
      <c r="N105" s="43"/>
      <c r="O105" s="43"/>
      <c r="P105" s="43"/>
      <c r="Q105" s="19"/>
      <c r="R105" s="20"/>
      <c r="S105" s="19"/>
      <c r="T105" s="19"/>
      <c r="U105" s="4"/>
      <c r="V105" s="4"/>
      <c r="W105" s="4"/>
      <c r="X105" s="33"/>
      <c r="Y105" s="5"/>
      <c r="Z105" s="5"/>
      <c r="AA105" s="5"/>
      <c r="AB105" s="5"/>
      <c r="AC105" s="3"/>
      <c r="AD105" s="3"/>
      <c r="AE105" s="34"/>
      <c r="AF105" s="5"/>
      <c r="AG105" s="5"/>
      <c r="AH105" s="5"/>
      <c r="AI105" s="5"/>
      <c r="AJ105" s="5"/>
      <c r="AK105" s="3"/>
      <c r="AL105" s="3"/>
    </row>
    <row r="106" spans="1:45" x14ac:dyDescent="0.2">
      <c r="A106" s="4"/>
      <c r="B106" s="1"/>
      <c r="C106" s="1"/>
      <c r="D106" s="26" t="s">
        <v>37</v>
      </c>
      <c r="E106" s="2">
        <v>1.5502</v>
      </c>
      <c r="F106" s="2">
        <v>2.8800000000000001E-4</v>
      </c>
      <c r="G106" s="21"/>
      <c r="H106" s="21"/>
      <c r="I106" s="21"/>
      <c r="J106" s="21"/>
      <c r="K106" s="3">
        <v>14.55</v>
      </c>
      <c r="L106" s="3">
        <v>0.06</v>
      </c>
      <c r="M106" s="41">
        <v>7.9490384175899997</v>
      </c>
      <c r="N106" s="41">
        <v>0.11599622481000001</v>
      </c>
      <c r="O106" s="42">
        <v>306.57008606421999</v>
      </c>
      <c r="P106" s="42">
        <v>5.1364644587999999</v>
      </c>
      <c r="Q106" s="4"/>
      <c r="R106" s="4"/>
      <c r="S106" s="19"/>
      <c r="T106" s="19"/>
      <c r="U106" s="4"/>
      <c r="V106" s="3">
        <v>5842.0026370240003</v>
      </c>
      <c r="W106" s="3">
        <v>99.466866655499999</v>
      </c>
      <c r="X106" s="35"/>
      <c r="Y106" s="4"/>
      <c r="Z106" s="4"/>
      <c r="AA106" s="4"/>
      <c r="AB106" s="4"/>
      <c r="AC106" s="3"/>
      <c r="AD106" s="3"/>
      <c r="AE106" s="33"/>
      <c r="AF106" s="4"/>
      <c r="AG106" s="4"/>
      <c r="AH106" s="4"/>
      <c r="AI106" s="4"/>
      <c r="AJ106" s="4"/>
      <c r="AK106" s="3"/>
      <c r="AL106" s="3"/>
    </row>
    <row r="107" spans="1:45" x14ac:dyDescent="0.2">
      <c r="A107" s="4"/>
      <c r="B107" s="1"/>
      <c r="C107" s="1"/>
      <c r="D107" s="1"/>
      <c r="E107" s="2"/>
      <c r="F107" s="2"/>
      <c r="G107" s="21"/>
      <c r="H107" s="21"/>
      <c r="I107" s="21"/>
      <c r="J107" s="21"/>
      <c r="K107" s="3"/>
      <c r="L107" s="3"/>
      <c r="M107" s="43"/>
      <c r="N107" s="43"/>
      <c r="O107" s="42"/>
      <c r="P107" s="42"/>
      <c r="Q107" s="4"/>
      <c r="R107" s="4"/>
      <c r="S107" s="19"/>
      <c r="T107" s="19"/>
      <c r="U107" s="4"/>
      <c r="V107" s="5"/>
      <c r="W107" s="5"/>
      <c r="X107" s="34"/>
      <c r="Y107" s="3"/>
      <c r="Z107" s="3"/>
      <c r="AA107" s="3"/>
      <c r="AB107" s="3"/>
      <c r="AC107" s="5"/>
      <c r="AD107" s="5"/>
      <c r="AE107" s="35"/>
      <c r="AF107" s="5"/>
      <c r="AG107" s="3"/>
      <c r="AH107" s="3"/>
      <c r="AI107" s="3"/>
      <c r="AJ107" s="3"/>
      <c r="AK107" s="5"/>
      <c r="AL107" s="5"/>
    </row>
    <row r="108" spans="1:45" x14ac:dyDescent="0.2">
      <c r="A108" s="1"/>
      <c r="B108" s="1" t="s">
        <v>26</v>
      </c>
      <c r="C108" s="1" t="s">
        <v>11</v>
      </c>
      <c r="D108" s="4"/>
      <c r="E108" s="25"/>
      <c r="F108" s="25"/>
      <c r="G108" s="4"/>
      <c r="H108" s="1"/>
      <c r="I108" s="1"/>
      <c r="J108" s="1"/>
      <c r="K108" s="3"/>
      <c r="L108" s="3"/>
      <c r="M108" s="43"/>
      <c r="N108" s="43"/>
      <c r="O108" s="42"/>
      <c r="P108" s="42"/>
      <c r="Q108" s="1"/>
      <c r="R108" s="1"/>
      <c r="S108" s="19"/>
      <c r="T108" s="19"/>
      <c r="U108" s="4"/>
      <c r="V108" s="5"/>
      <c r="W108" s="5"/>
      <c r="X108" s="34"/>
      <c r="Y108" s="5"/>
      <c r="Z108" s="5"/>
      <c r="AA108" s="5"/>
      <c r="AB108" s="5"/>
      <c r="AC108" s="5"/>
      <c r="AD108" s="5"/>
      <c r="AE108" s="34"/>
      <c r="AF108" s="5"/>
      <c r="AG108" s="5"/>
      <c r="AH108" s="5"/>
      <c r="AI108" s="5"/>
      <c r="AJ108" s="5"/>
      <c r="AK108" s="5"/>
      <c r="AL108" s="5"/>
    </row>
    <row r="109" spans="1:45" x14ac:dyDescent="0.2">
      <c r="A109" s="1"/>
      <c r="B109" s="1"/>
      <c r="C109" s="1"/>
      <c r="D109" s="7" t="s">
        <v>31</v>
      </c>
      <c r="E109" s="2">
        <v>0.3372</v>
      </c>
      <c r="F109" s="2">
        <v>1.0759999999999999E-3</v>
      </c>
      <c r="G109" s="5">
        <v>17.38</v>
      </c>
      <c r="H109" s="5">
        <v>3.2156160633176924E-2</v>
      </c>
      <c r="I109" s="5"/>
      <c r="J109" s="5"/>
      <c r="K109" s="5">
        <v>16.265626884270613</v>
      </c>
      <c r="L109" s="5">
        <v>0.24137315592726036</v>
      </c>
      <c r="M109" s="41">
        <v>8.1831999999999994</v>
      </c>
      <c r="N109" s="41">
        <v>5.4199999999999998E-2</v>
      </c>
      <c r="O109" s="42">
        <v>428.6884</v>
      </c>
      <c r="P109" s="42">
        <v>3.9744000000000002</v>
      </c>
      <c r="Q109" s="19">
        <v>13146.310495639</v>
      </c>
      <c r="R109" s="20">
        <v>739.02213127000005</v>
      </c>
      <c r="S109" s="19">
        <v>5240.2925357000004</v>
      </c>
      <c r="T109" s="19">
        <v>457.18494567900001</v>
      </c>
      <c r="U109" s="4"/>
      <c r="V109" s="5">
        <f>6.4829*1000</f>
        <v>6482.9</v>
      </c>
      <c r="W109" s="5">
        <f>0.1376174*1000</f>
        <v>137.6174</v>
      </c>
      <c r="X109" s="34"/>
      <c r="Y109" s="5"/>
      <c r="Z109" s="5"/>
      <c r="AA109" s="5"/>
      <c r="AB109" s="5"/>
      <c r="AC109" s="5"/>
      <c r="AD109" s="5"/>
      <c r="AE109" s="34"/>
      <c r="AF109" s="5"/>
      <c r="AG109" s="5"/>
      <c r="AH109" s="5"/>
      <c r="AI109" s="5"/>
      <c r="AJ109" s="5"/>
      <c r="AK109" s="5"/>
      <c r="AL109" s="5"/>
    </row>
    <row r="110" spans="1:45" x14ac:dyDescent="0.2">
      <c r="A110" s="1"/>
      <c r="B110" s="1"/>
      <c r="C110" s="1"/>
      <c r="D110" s="1" t="s">
        <v>35</v>
      </c>
      <c r="E110" s="2">
        <v>0.50609999999999999</v>
      </c>
      <c r="F110" s="2">
        <v>2.2529999999999998E-3</v>
      </c>
      <c r="G110" s="1"/>
      <c r="H110" s="1"/>
      <c r="I110" s="5">
        <v>17.888132897410962</v>
      </c>
      <c r="J110" s="5">
        <v>0.18867057920248997</v>
      </c>
      <c r="K110" s="4"/>
      <c r="L110" s="4"/>
      <c r="M110" s="43"/>
      <c r="N110" s="43"/>
      <c r="O110" s="43"/>
      <c r="P110" s="43"/>
      <c r="Q110" s="19"/>
      <c r="R110" s="20"/>
      <c r="S110" s="19"/>
      <c r="T110" s="19"/>
      <c r="U110" s="3"/>
      <c r="V110" s="4"/>
      <c r="W110" s="4"/>
      <c r="X110" s="33"/>
      <c r="Y110" s="3"/>
      <c r="Z110" s="3"/>
      <c r="AA110" s="3"/>
      <c r="AB110" s="3"/>
      <c r="AC110" s="3"/>
      <c r="AD110" s="3"/>
      <c r="AE110" s="35"/>
      <c r="AF110" s="5"/>
      <c r="AG110" s="3"/>
      <c r="AH110" s="3"/>
      <c r="AI110" s="3"/>
      <c r="AJ110" s="3"/>
      <c r="AK110" s="3"/>
      <c r="AL110" s="3"/>
    </row>
    <row r="111" spans="1:45" x14ac:dyDescent="0.2">
      <c r="A111" s="1"/>
      <c r="B111" s="1"/>
      <c r="C111" s="1"/>
      <c r="D111" s="27" t="s">
        <v>36</v>
      </c>
      <c r="E111" s="2">
        <v>1.0193000000000001</v>
      </c>
      <c r="F111" s="2">
        <v>3.617E-3</v>
      </c>
      <c r="G111" s="21"/>
      <c r="H111" s="21"/>
      <c r="I111" s="21"/>
      <c r="J111" s="21"/>
      <c r="K111" s="48">
        <v>17.578431513444354</v>
      </c>
      <c r="L111" s="48">
        <v>0.17331995287449956</v>
      </c>
      <c r="M111" s="44">
        <v>11.370932884</v>
      </c>
      <c r="N111" s="44">
        <v>0.13833664654899999</v>
      </c>
      <c r="O111" s="45">
        <v>166.5204124</v>
      </c>
      <c r="P111" s="45">
        <v>3.6065927861999998</v>
      </c>
      <c r="Q111" s="3"/>
      <c r="R111" s="3"/>
      <c r="S111" s="4"/>
      <c r="T111" s="19"/>
      <c r="U111" s="3"/>
      <c r="V111" s="3">
        <v>2358.7995825142998</v>
      </c>
      <c r="W111" s="3">
        <v>20.558365263110002</v>
      </c>
      <c r="X111" s="35"/>
      <c r="Y111" s="4"/>
      <c r="Z111" s="4"/>
      <c r="AA111" s="4"/>
      <c r="AB111" s="4"/>
      <c r="AC111" s="3"/>
      <c r="AD111" s="3"/>
      <c r="AE111" s="33"/>
      <c r="AF111" s="4"/>
      <c r="AG111" s="4"/>
      <c r="AH111" s="4"/>
      <c r="AI111" s="4"/>
      <c r="AJ111" s="4"/>
      <c r="AK111" s="3"/>
      <c r="AL111" s="3"/>
    </row>
    <row r="112" spans="1:45" x14ac:dyDescent="0.2">
      <c r="A112" s="1"/>
      <c r="B112" s="1"/>
      <c r="C112" s="1"/>
      <c r="D112" s="1"/>
      <c r="E112" s="2"/>
      <c r="F112" s="2"/>
      <c r="G112" s="21"/>
      <c r="H112" s="21"/>
      <c r="I112" s="21"/>
      <c r="J112" s="21"/>
      <c r="K112" s="3"/>
      <c r="L112" s="3"/>
      <c r="M112" s="41"/>
      <c r="N112" s="44"/>
      <c r="O112" s="42"/>
      <c r="P112" s="42"/>
      <c r="Q112" s="3"/>
      <c r="R112" s="3"/>
      <c r="S112" s="3"/>
      <c r="T112" s="3"/>
      <c r="U112" s="3"/>
      <c r="V112" s="3"/>
      <c r="W112" s="3"/>
      <c r="X112" s="35"/>
      <c r="Y112" s="3"/>
      <c r="Z112" s="3"/>
      <c r="AA112" s="3"/>
      <c r="AB112" s="3"/>
      <c r="AC112" s="3"/>
      <c r="AD112" s="3"/>
      <c r="AE112" s="34"/>
      <c r="AF112" s="5"/>
      <c r="AG112" s="3"/>
      <c r="AH112" s="3"/>
      <c r="AI112" s="3"/>
      <c r="AJ112" s="3"/>
      <c r="AK112" s="3"/>
      <c r="AL112" s="3"/>
    </row>
    <row r="113" spans="1:38" x14ac:dyDescent="0.2">
      <c r="A113" s="1"/>
      <c r="B113" s="1" t="s">
        <v>19</v>
      </c>
      <c r="C113" s="1" t="s">
        <v>11</v>
      </c>
      <c r="D113" s="4"/>
      <c r="E113" s="25"/>
      <c r="F113" s="25"/>
      <c r="G113" s="4"/>
      <c r="H113" s="1"/>
      <c r="I113" s="1"/>
      <c r="J113" s="1"/>
      <c r="K113" s="3"/>
      <c r="L113" s="3"/>
      <c r="M113" s="43"/>
      <c r="N113" s="43"/>
      <c r="O113" s="42"/>
      <c r="P113" s="42"/>
      <c r="Q113" s="1"/>
      <c r="R113" s="1"/>
      <c r="S113" s="19"/>
      <c r="T113" s="19"/>
      <c r="U113" s="4"/>
      <c r="V113" s="5"/>
      <c r="W113" s="5"/>
      <c r="X113" s="34"/>
      <c r="Y113" s="5"/>
      <c r="Z113" s="5"/>
      <c r="AA113" s="5"/>
      <c r="AB113" s="5"/>
      <c r="AC113" s="5"/>
      <c r="AD113" s="5"/>
      <c r="AE113" s="34"/>
      <c r="AF113" s="5"/>
      <c r="AG113" s="5"/>
      <c r="AH113" s="5"/>
      <c r="AI113" s="5"/>
      <c r="AJ113" s="5"/>
      <c r="AK113" s="5"/>
      <c r="AL113" s="5"/>
    </row>
    <row r="114" spans="1:38" x14ac:dyDescent="0.2">
      <c r="A114" s="1"/>
      <c r="B114" s="1"/>
      <c r="C114" s="1"/>
      <c r="D114" s="7" t="s">
        <v>31</v>
      </c>
      <c r="E114" s="2">
        <v>0.3412</v>
      </c>
      <c r="F114" s="2">
        <v>2.6359999999999999E-3</v>
      </c>
      <c r="G114" s="5">
        <v>17.39</v>
      </c>
      <c r="H114" s="5">
        <v>3.2156160633176924E-2</v>
      </c>
      <c r="I114" s="5"/>
      <c r="J114" s="5"/>
      <c r="K114" s="5">
        <v>16.364508393285355</v>
      </c>
      <c r="L114" s="5">
        <v>0.14791865447750466</v>
      </c>
      <c r="M114" s="41">
        <v>8.1708999999999996</v>
      </c>
      <c r="N114" s="41">
        <v>3.8100000000000002E-2</v>
      </c>
      <c r="O114" s="42">
        <v>430.41469999999998</v>
      </c>
      <c r="P114" s="42">
        <v>2.6938</v>
      </c>
      <c r="Q114" s="19">
        <v>13375.8109429</v>
      </c>
      <c r="R114" s="20">
        <v>575.97800485000005</v>
      </c>
      <c r="S114" s="19">
        <v>5272.202438196</v>
      </c>
      <c r="T114" s="19">
        <v>454.69817738538597</v>
      </c>
      <c r="U114" s="4"/>
      <c r="V114" s="5">
        <f>6.4352*1000</f>
        <v>6435.2</v>
      </c>
      <c r="W114" s="5">
        <f>0.0851944*1000</f>
        <v>85.194400000000002</v>
      </c>
      <c r="X114" s="34"/>
      <c r="Y114" s="5"/>
      <c r="Z114" s="5"/>
      <c r="AA114" s="5"/>
      <c r="AB114" s="5"/>
      <c r="AC114" s="5"/>
      <c r="AD114" s="5"/>
      <c r="AE114" s="34"/>
      <c r="AF114" s="5"/>
      <c r="AG114" s="5"/>
      <c r="AH114" s="5"/>
      <c r="AI114" s="5"/>
      <c r="AJ114" s="5"/>
      <c r="AK114" s="5"/>
      <c r="AL114" s="5"/>
    </row>
    <row r="115" spans="1:38" x14ac:dyDescent="0.2">
      <c r="A115" s="1"/>
      <c r="B115" s="1"/>
      <c r="C115" s="1"/>
      <c r="D115" s="1" t="s">
        <v>35</v>
      </c>
      <c r="E115" s="2">
        <v>0.30809999999999998</v>
      </c>
      <c r="F115" s="2">
        <v>3.117E-3</v>
      </c>
      <c r="G115" s="1"/>
      <c r="H115" s="1"/>
      <c r="I115" s="5">
        <v>17.972874434884137</v>
      </c>
      <c r="J115" s="5">
        <v>0.24385789541215477</v>
      </c>
      <c r="K115" s="4"/>
      <c r="L115" s="4"/>
      <c r="M115" s="43"/>
      <c r="N115" s="43"/>
      <c r="O115" s="43"/>
      <c r="P115" s="43"/>
      <c r="Q115" s="19"/>
      <c r="R115" s="20"/>
      <c r="S115" s="19"/>
      <c r="T115" s="19"/>
      <c r="U115" s="3"/>
      <c r="V115" s="4"/>
      <c r="W115" s="4"/>
      <c r="X115" s="33"/>
      <c r="Y115" s="3"/>
      <c r="Z115" s="3"/>
      <c r="AA115" s="3"/>
      <c r="AB115" s="3"/>
      <c r="AC115" s="3"/>
      <c r="AD115" s="3"/>
      <c r="AE115" s="35"/>
      <c r="AF115" s="5"/>
      <c r="AG115" s="3"/>
      <c r="AH115" s="3"/>
      <c r="AI115" s="3"/>
      <c r="AJ115" s="3"/>
      <c r="AK115" s="3"/>
      <c r="AL115" s="3"/>
    </row>
    <row r="116" spans="1:38" x14ac:dyDescent="0.2">
      <c r="A116" s="1"/>
      <c r="B116" s="1"/>
      <c r="C116" s="1"/>
      <c r="D116" s="27" t="s">
        <v>36</v>
      </c>
      <c r="E116" s="2">
        <v>1.0194000000000001</v>
      </c>
      <c r="F116" s="2">
        <v>2.823E-3</v>
      </c>
      <c r="G116" s="21"/>
      <c r="H116" s="21"/>
      <c r="I116" s="21"/>
      <c r="J116" s="21"/>
      <c r="K116" s="3">
        <v>17.38</v>
      </c>
      <c r="L116" s="3">
        <v>0.05</v>
      </c>
      <c r="M116" s="44">
        <v>11.214356875939</v>
      </c>
      <c r="N116" s="44">
        <v>6.0196092600000001E-2</v>
      </c>
      <c r="O116" s="45">
        <v>162.304608156</v>
      </c>
      <c r="P116" s="45">
        <v>1.3298065614200001</v>
      </c>
      <c r="Q116" s="3"/>
      <c r="R116" s="3"/>
      <c r="S116" s="4"/>
      <c r="T116" s="19"/>
      <c r="U116" s="3"/>
      <c r="V116" s="3">
        <v>2348.7313475300002</v>
      </c>
      <c r="W116" s="3">
        <v>18.61799317469</v>
      </c>
      <c r="X116" s="35"/>
      <c r="Y116" s="4"/>
      <c r="Z116" s="4"/>
      <c r="AA116" s="4"/>
      <c r="AB116" s="4"/>
      <c r="AC116" s="3"/>
      <c r="AD116" s="3"/>
      <c r="AE116" s="33"/>
      <c r="AF116" s="4"/>
      <c r="AG116" s="4"/>
      <c r="AH116" s="4"/>
      <c r="AI116" s="4"/>
      <c r="AJ116" s="4"/>
      <c r="AK116" s="3"/>
      <c r="AL116" s="3"/>
    </row>
    <row r="118" spans="1:38" x14ac:dyDescent="0.2">
      <c r="C118" s="4" t="s">
        <v>63</v>
      </c>
      <c r="D118" s="4"/>
      <c r="E118" s="25"/>
      <c r="F118" s="25"/>
      <c r="H118" s="4"/>
      <c r="I118" s="4"/>
      <c r="J118" s="4"/>
      <c r="K118" s="5">
        <f>Y103</f>
        <v>16.317114527022269</v>
      </c>
      <c r="L118" s="5">
        <f>Z103</f>
        <v>9.8825677134344786E-2</v>
      </c>
      <c r="M118" s="6">
        <v>8.1547999999999998</v>
      </c>
      <c r="N118" s="6">
        <v>3.09E-2</v>
      </c>
      <c r="O118" s="6">
        <v>428.52600000000001</v>
      </c>
      <c r="P118" s="6">
        <v>2.0539000000000001</v>
      </c>
      <c r="Q118" s="6">
        <v>13268.262678999999</v>
      </c>
      <c r="R118" s="6">
        <v>500.93178074299999</v>
      </c>
      <c r="S118" s="6">
        <v>5244.8665583410002</v>
      </c>
      <c r="T118" s="6">
        <v>454.95827830000002</v>
      </c>
      <c r="V118" s="6">
        <v>6437.3</v>
      </c>
      <c r="W118" s="6">
        <v>59.225999999999999</v>
      </c>
    </row>
    <row r="119" spans="1:38" x14ac:dyDescent="0.2">
      <c r="Q119" s="19">
        <v>5484.3</v>
      </c>
      <c r="R119" s="6">
        <v>1496</v>
      </c>
    </row>
  </sheetData>
  <mergeCells count="2">
    <mergeCell ref="Y2:AD2"/>
    <mergeCell ref="AF2:AQ2"/>
  </mergeCells>
  <pageMargins left="0.7" right="0.7" top="0.75" bottom="0.75" header="0.3" footer="0.3"/>
  <pageSetup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davies</dc:creator>
  <cp:lastModifiedBy>erik davies</cp:lastModifiedBy>
  <dcterms:created xsi:type="dcterms:W3CDTF">2015-06-05T18:17:20Z</dcterms:created>
  <dcterms:modified xsi:type="dcterms:W3CDTF">2020-07-06T23:19:57Z</dcterms:modified>
</cp:coreProperties>
</file>