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2\CalFresh\DASHBOARD\CalFresh Dashboard 2.0\2018\"/>
    </mc:Choice>
  </mc:AlternateContent>
  <workbookProtection workbookAlgorithmName="SHA-512" workbookHashValue="v+HbmBSdiTyh06OQA2/jA2N3g3cF/1NbN9ILBWMYEmqT03TpLLUBiRYEgi6+FIblS5Aj3VbFcScePdhK7+cqeg==" workbookSaltValue="Fx3Gek52nyGdZUF4qsXzyg==" workbookSpinCount="100000" lockStructure="1"/>
  <bookViews>
    <workbookView showSheetTabs="0" xWindow="0" yWindow="0" windowWidth="21570" windowHeight="8085" tabRatio="899" firstSheet="1"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Every_Mth!$A$10:$N$4376</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Trend_Annual_Demo_Gen_Pop!$A$1:$V$84</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0" r:id="rId44"/>
    <pivotCache cacheId="1" r:id="rId45"/>
    <pivotCache cacheId="2" r:id="rId46"/>
    <pivotCache cacheId="3" r:id="rId47"/>
    <pivotCache cacheId="4"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4" i="57" l="1"/>
  <c r="E365"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368" i="55"/>
  <c r="E367" i="55"/>
  <c r="E366" i="55"/>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C41" i="64" s="1"/>
  <c r="G40" i="64"/>
  <c r="F40" i="64"/>
  <c r="E40" i="64"/>
  <c r="D40" i="64"/>
  <c r="C40" i="64" s="1"/>
  <c r="G39" i="64"/>
  <c r="F39" i="64"/>
  <c r="E39" i="64"/>
  <c r="D39" i="64"/>
  <c r="C39" i="64" s="1"/>
  <c r="G38" i="64"/>
  <c r="F38" i="64"/>
  <c r="E38" i="64"/>
  <c r="D38" i="64"/>
  <c r="C38" i="64" s="1"/>
  <c r="G35" i="64"/>
  <c r="F35" i="64"/>
  <c r="E35" i="64"/>
  <c r="D35" i="64"/>
  <c r="C35" i="64" s="1"/>
  <c r="G34" i="64"/>
  <c r="F34" i="64"/>
  <c r="E34" i="64"/>
  <c r="D34" i="64"/>
  <c r="C34" i="64" s="1"/>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C24" i="64" s="1"/>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C16" i="64" s="1"/>
  <c r="G15" i="64"/>
  <c r="F15" i="64"/>
  <c r="E15" i="64"/>
  <c r="D15" i="64"/>
  <c r="G12" i="64"/>
  <c r="F12" i="64"/>
  <c r="A156" i="46" l="1"/>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<sst xmlns="http://schemas.openxmlformats.org/spreadsheetml/2006/main" count="29443" uniqueCount="435">
  <si>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</si>
  <si>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</si>
  <si>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</si>
  <si>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</si>
  <si>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</si>
  <si>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</si>
  <si>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</si>
  <si>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</si>
  <si>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</si>
  <si>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</si>
  <si>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</si>
  <si>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</si>
  <si>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</si>
  <si>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</si>
  <si>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</si>
  <si>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</si>
  <si>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</si>
  <si>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</si>
  <si>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</si>
  <si>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</si>
  <si>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</si>
  <si>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</si>
  <si>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</si>
  <si>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</si>
  <si>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</si>
  <si>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</si>
  <si>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</si>
  <si>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</si>
  <si>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</si>
  <si>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</si>
  <si>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</si>
  <si>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</si>
  <si>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</si>
  <si>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</si>
  <si>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</si>
  <si>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</si>
  <si>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</si>
  <si>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</si>
  <si>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</si>
  <si>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</si>
  <si>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</si>
  <si>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</si>
  <si>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</si>
  <si>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</si>
  <si>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</si>
  <si>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</si>
  <si>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</si>
  <si>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</si>
  <si>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</si>
  <si>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</si>
  <si>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</si>
  <si>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</si>
  <si>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</si>
  <si>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</si>
  <si>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</si>
  <si>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</si>
  <si>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</si>
  <si>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</si>
  <si>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</si>
  <si>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</si>
  <si>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</si>
  <si>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</si>
  <si>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</si>
  <si>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</si>
  <si>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</si>
  <si>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</si>
  <si>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</si>
  <si>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</si>
  <si>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</si>
  <si>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</si>
  <si>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</si>
  <si>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</si>
  <si>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</si>
  <si>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</si>
  <si>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</si>
  <si>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</si>
  <si>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</si>
  <si>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</si>
  <si>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</si>
  <si>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</si>
  <si>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</si>
  <si>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</si>
  <si>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</si>
  <si>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</si>
  <si>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</si>
  <si>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</si>
  <si>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</si>
  <si>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</si>
  <si>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</si>
  <si>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</si>
  <si>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</si>
  <si>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</si>
  <si>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</si>
  <si>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</si>
  <si>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</si>
  <si>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</si>
  <si>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</si>
  <si>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</si>
  <si>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</si>
  <si>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</si>
  <si>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</si>
  <si>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</si>
  <si>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</si>
  <si>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</si>
  <si>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</si>
  <si>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</si>
  <si>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</si>
  <si>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</si>
  <si>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</si>
  <si>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</si>
  <si>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</si>
  <si>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</si>
  <si>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</si>
  <si>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</si>
  <si>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</si>
  <si>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</si>
  <si>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</si>
  <si>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</si>
  <si>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</si>
  <si>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</si>
  <si>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</si>
  <si>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</si>
  <si>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</si>
  <si>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</si>
  <si>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</si>
  <si>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</si>
  <si>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</si>
  <si>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</si>
  <si>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</si>
  <si>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</si>
  <si>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</si>
  <si>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</si>
  <si>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</si>
  <si>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</si>
  <si>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</si>
  <si>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</si>
  <si>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</si>
  <si>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</si>
  <si>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</si>
  <si>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</si>
  <si>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</si>
  <si>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</si>
  <si>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</si>
  <si>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</si>
  <si>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</si>
  <si>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</si>
  <si>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</si>
  <si>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</si>
  <si>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</si>
  <si>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</si>
  <si>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</si>
  <si>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</si>
  <si>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</si>
  <si>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</si>
  <si>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</si>
  <si>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</si>
  <si>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</si>
  <si>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</si>
  <si>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</si>
  <si>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</si>
  <si>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</si>
  <si>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</si>
  <si>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</si>
  <si>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</si>
  <si>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</si>
  <si>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</si>
  <si>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</si>
  <si>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</si>
  <si>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</si>
  <si>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</si>
  <si>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</si>
  <si>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</si>
  <si>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</si>
  <si>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</si>
  <si>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</si>
  <si>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</si>
  <si>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</si>
  <si>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</si>
  <si>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</si>
  <si>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</si>
  <si>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</si>
  <si>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</si>
  <si>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</si>
  <si>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</si>
  <si>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</si>
  <si>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</si>
  <si>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</si>
  <si>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</si>
  <si>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</si>
  <si>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</si>
  <si>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</si>
  <si>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</si>
  <si>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</si>
  <si>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</si>
  <si>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</si>
  <si>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</si>
  <si>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</si>
  <si>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</si>
  <si>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</si>
  <si>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</si>
  <si>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</si>
  <si>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</si>
  <si>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</si>
  <si>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</si>
  <si>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</si>
  <si>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</si>
  <si>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</si>
  <si>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</si>
  <si>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</si>
  <si>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</si>
  <si>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</si>
  <si>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</si>
  <si>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</si>
  <si>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</si>
  <si>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</si>
  <si>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</si>
  <si>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</si>
  <si>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</si>
  <si>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</si>
  <si>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</si>
  <si>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</si>
  <si>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</si>
  <si>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</si>
  <si>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</si>
  <si>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</si>
  <si>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</si>
  <si>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</si>
  <si>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</si>
  <si>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</si>
  <si>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</si>
  <si>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</si>
  <si>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</si>
  <si>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</si>
  <si>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</si>
  <si>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</si>
  <si>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</si>
  <si>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</si>
  <si>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</si>
  <si>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</si>
  <si>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</si>
  <si>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</si>
  <si>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</si>
  <si>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</si>
  <si>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</si>
  <si>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</si>
  <si>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</si>
  <si>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</si>
  <si>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</si>
  <si>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</si>
  <si>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</si>
  <si>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</si>
  <si>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</si>
  <si>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</si>
  <si>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</si>
  <si>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</si>
  <si>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</si>
  <si>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</si>
  <si>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</si>
  <si>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</si>
  <si>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</si>
  <si>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</si>
  <si>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</si>
  <si>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</si>
  <si>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</si>
  <si>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</si>
  <si>
    <t>2017/18</t>
  </si>
  <si>
    <t>2012-2016</t>
  </si>
  <si>
    <t>Source: California Medi-Cal Eligibility System - Percent of Medi-Cal Recipients Receiving CalFresh Benefits; using all Medi-Cal aid codes and all CalFresh aid codes.</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</si>
  <si>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</si>
  <si>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</si>
  <si>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</si>
  <si>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</si>
  <si>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</si>
  <si>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</si>
  <si>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</si>
  <si>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</si>
  <si>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</si>
  <si>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</si>
  <si>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</si>
  <si>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</si>
  <si>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</si>
  <si>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</si>
  <si>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</si>
  <si>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</si>
  <si>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</si>
  <si>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</si>
  <si>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</si>
  <si>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</si>
  <si>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</si>
  <si>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</si>
  <si>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</si>
  <si>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</si>
  <si>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</si>
  <si>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</si>
  <si>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</si>
  <si>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</si>
  <si>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</si>
  <si>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</si>
  <si>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</si>
  <si>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</si>
  <si>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</si>
  <si>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</si>
  <si>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</si>
  <si>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</si>
  <si>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</si>
  <si>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</si>
  <si>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</si>
  <si>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</si>
  <si>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</si>
  <si>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</si>
  <si>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</si>
  <si>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</si>
  <si>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</si>
  <si>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</si>
  <si>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</si>
  <si>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</si>
  <si>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</si>
  <si>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</si>
  <si>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</si>
  <si>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</si>
  <si>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</si>
  <si>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</si>
  <si>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</si>
  <si>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</si>
  <si>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</si>
  <si>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</si>
  <si>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</si>
  <si>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</si>
  <si>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</si>
  <si>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</si>
  <si>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</si>
  <si>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</si>
  <si>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</si>
  <si>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</si>
  <si>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</si>
  <si>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</si>
  <si>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</si>
  <si>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</si>
  <si>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</si>
  <si>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</si>
  <si>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</si>
  <si>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</si>
  <si>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</si>
  <si>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</si>
  <si>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</si>
  <si>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</si>
  <si>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</si>
  <si>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</si>
  <si>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</si>
  <si>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</si>
  <si>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</si>
  <si>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</si>
  <si>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</si>
  <si>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</si>
  <si>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</si>
  <si>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</si>
  <si>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</si>
  <si>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</si>
  <si>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</si>
  <si>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</si>
  <si>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</si>
  <si>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</si>
  <si>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</si>
  <si>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</si>
  <si>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</si>
  <si>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</si>
  <si>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</si>
  <si>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</si>
  <si>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</si>
  <si>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</si>
  <si>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</si>
  <si>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</si>
  <si>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</si>
  <si>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</si>
  <si>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</si>
  <si>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</si>
  <si>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</si>
  <si>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</si>
  <si>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</si>
  <si>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</si>
  <si>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</si>
  <si>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</si>
  <si>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</si>
  <si>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</si>
  <si>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</si>
  <si>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</si>
  <si>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</si>
  <si>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</si>
  <si>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</si>
  <si>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</si>
  <si>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</si>
  <si>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</si>
  <si>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</si>
  <si>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</si>
  <si>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</si>
  <si>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</si>
  <si>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</si>
  <si>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</si>
  <si>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</si>
  <si>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</si>
  <si>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</si>
  <si>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</si>
  <si>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</si>
  <si>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</si>
  <si>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</si>
  <si>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</si>
  <si>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</si>
  <si>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</si>
  <si>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</si>
  <si>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</si>
  <si>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</si>
  <si>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</si>
  <si>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</si>
  <si>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</si>
  <si>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</si>
  <si>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</si>
  <si>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</si>
  <si>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</si>
  <si>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</si>
  <si>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</si>
  <si>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</si>
  <si>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</si>
  <si>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</si>
  <si>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</si>
  <si>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</si>
  <si>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</si>
  <si>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</si>
  <si>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</si>
  <si>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</si>
  <si>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New GeoMaps, WIC/CF dual enrollment, Tiered Likely CF Eligibles, Added Negative Error Rate, CF households and persons updated</t>
  </si>
  <si>
    <t>See "2016 PRI Footnotes" document linked on PRI data table pages</t>
  </si>
  <si>
    <t>2016 PRI
Timeliness
CF Persons &amp; CF Households</t>
  </si>
  <si>
    <t>Active Error Rate
Negative Error Rate
CF Households (monthly)
CF Persons (monthly)</t>
  </si>
  <si>
    <t xml:space="preserve">February </t>
  </si>
  <si>
    <t>Preliminary CalFresh households, persons &amp; expedited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</si>
</sst>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4">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0" fillId="0" borderId="0"/>
    <xf numFmtId="37" fontId="28" fillId="0" borderId="0"/>
    <xf numFmtId="0" fontId="1" fillId="0" borderId="0"/>
  </cellStyleXfs>
  <cellXfs count="190">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1" fillId="0" borderId="0" xfId="414" applyNumberFormat="1" applyFont="1" applyAlignment="1">
      <alignment horizontal="center"/>
    </xf>
    <xf numFmtId="0" fontId="2"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59"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2" fillId="0" borderId="25" xfId="0" applyNumberFormat="1" applyFont="1" applyFill="1" applyBorder="1" applyAlignment="1">
      <alignment horizontal="right" wrapText="1"/>
    </xf>
    <xf numFmtId="3" fontId="2" fillId="0" borderId="11" xfId="0" applyNumberFormat="1" applyFont="1" applyFill="1" applyBorder="1" applyAlignment="1" applyProtection="1">
      <alignment horizontal="center"/>
      <protection locked="0"/>
    </xf>
    <xf numFmtId="164" fontId="2" fillId="0" borderId="11" xfId="0" applyNumberFormat="1" applyFont="1" applyFill="1" applyBorder="1" applyAlignment="1" applyProtection="1">
      <alignment horizontal="center"/>
      <protection locked="0"/>
    </xf>
    <xf numFmtId="164" fontId="2" fillId="0" borderId="26" xfId="0" applyNumberFormat="1" applyFont="1" applyFill="1" applyBorder="1" applyAlignment="1" applyProtection="1">
      <alignment horizontal="center"/>
      <protection locked="0"/>
    </xf>
    <xf numFmtId="3" fontId="0" fillId="0" borderId="21" xfId="0" applyNumberFormat="1" applyFill="1" applyBorder="1" applyAlignment="1" applyProtection="1">
      <alignment horizontal="center"/>
      <protection locked="0"/>
    </xf>
    <xf numFmtId="164" fontId="0" fillId="0" borderId="21" xfId="0" applyNumberFormat="1" applyFill="1" applyBorder="1" applyAlignment="1" applyProtection="1">
      <alignment horizontal="center"/>
      <protection locked="0"/>
    </xf>
    <xf numFmtId="164" fontId="0" fillId="0" borderId="27" xfId="0" applyNumberFormat="1" applyFill="1" applyBorder="1" applyAlignment="1" applyProtection="1">
      <alignment horizontal="center"/>
      <protection locked="0"/>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 fontId="0" fillId="0" borderId="11" xfId="0" applyNumberFormat="1" applyFill="1" applyBorder="1" applyAlignment="1" applyProtection="1">
      <alignment horizontal="center"/>
      <protection locked="0"/>
    </xf>
    <xf numFmtId="164" fontId="0" fillId="0" borderId="11" xfId="0" applyNumberFormat="1" applyFill="1" applyBorder="1" applyAlignment="1" applyProtection="1">
      <alignment horizontal="center"/>
      <protection locked="0"/>
    </xf>
    <xf numFmtId="164" fontId="0" fillId="0" borderId="26"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2"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2" fillId="33" borderId="23" xfId="0" applyFont="1" applyFill="1" applyBorder="1" applyAlignment="1">
      <alignment horizontal="center"/>
    </xf>
    <xf numFmtId="169" fontId="73" fillId="0" borderId="0" xfId="414" applyNumberFormat="1" applyFont="1" applyAlignment="1">
      <alignment horizontal="center"/>
    </xf>
    <xf numFmtId="10" fontId="73" fillId="0" borderId="0" xfId="1" applyNumberFormat="1" applyFont="1" applyAlignment="1">
      <alignment horizont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59" fillId="33" borderId="0" xfId="0" applyFont="1" applyFill="1" applyAlignment="1">
      <alignment horizontal="center"/>
    </xf>
    <xf numFmtId="0" fontId="2" fillId="0" borderId="23" xfId="0" applyFont="1" applyFill="1" applyBorder="1" applyAlignment="1">
      <alignment horizontal="right" vertical="center"/>
    </xf>
    <xf numFmtId="0" fontId="2"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0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547867</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111321</c:v>
                </c:pt>
              </c:numCache>
            </c:numRef>
          </c:val>
          <c:extLst>
            <c:ext xmlns:c16="http://schemas.microsoft.com/office/drawing/2014/chart" uri="{C3380CC4-5D6E-409C-BE32-E72D297353CC}">
              <c16:uniqueId val="{00000000-ABD4-4A30-B6B8-C23F64165920}"/>
            </c:ext>
          </c:extLst>
        </c:ser>
        <c:ser>
          <c:idx val="2"/>
          <c:order val="2"/>
          <c:tx>
            <c:strRef>
              <c:f>Pivot_HHs_Mth!$A$8</c:f>
              <c:strCache>
                <c:ptCount val="1"/>
                <c:pt idx="0">
                  <c:v>33 Riverside</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117728</c:v>
                </c:pt>
              </c:numCache>
            </c:numRef>
          </c:val>
          <c:extLst>
            <c:ext xmlns:c16="http://schemas.microsoft.com/office/drawing/2014/chart" uri="{C3380CC4-5D6E-409C-BE32-E72D297353CC}">
              <c16:uniqueId val="{00000001-ABD4-4A30-B6B8-C23F64165920}"/>
            </c:ext>
          </c:extLst>
        </c:ser>
        <c:ser>
          <c:idx val="3"/>
          <c:order val="3"/>
          <c:tx>
            <c:strRef>
              <c:f>Pivot_HHs_Mth!$A$8</c:f>
              <c:strCache>
                <c:ptCount val="1"/>
                <c:pt idx="0">
                  <c:v>36 San Bernardino</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158956</c:v>
                </c:pt>
              </c:numCache>
            </c:numRef>
          </c:val>
          <c:extLst>
            <c:ext xmlns:c16="http://schemas.microsoft.com/office/drawing/2014/chart" uri="{C3380CC4-5D6E-409C-BE32-E72D297353CC}">
              <c16:uniqueId val="{00000002-ABD4-4A30-B6B8-C23F64165920}"/>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06 Colusa</c:v>
                </c:pt>
              </c:strCache>
            </c:strRef>
          </c:tx>
          <c:invertIfNegative val="0"/>
          <c:cat>
            <c:multiLvlStrRef>
              <c:f>Pivot_Persons_Mth!$A$8</c:f>
              <c:multiLvlStrCache>
                <c:ptCount val="2"/>
                <c:lvl>
                  <c:pt idx="0">
                    <c:v>January</c:v>
                  </c:pt>
                  <c:pt idx="1">
                    <c:v>February </c:v>
                  </c:pt>
                </c:lvl>
                <c:lvl>
                  <c:pt idx="0">
                    <c:v>2018</c:v>
                  </c:pt>
                </c:lvl>
              </c:multiLvlStrCache>
            </c:multiLvlStrRef>
          </c:cat>
          <c:val>
            <c:numRef>
              <c:f>Pivot_Persons_Mth!$A$8</c:f>
              <c:numCache>
                <c:formatCode>_(* #,##0_);_(* \(#,##0\);_(* "-"??_);_(@_)</c:formatCode>
                <c:ptCount val="2"/>
                <c:pt idx="0">
                  <c:v>1486</c:v>
                </c:pt>
                <c:pt idx="1">
                  <c:v>1475</c:v>
                </c:pt>
              </c:numCache>
            </c:numRef>
          </c:val>
          <c:extLst>
            <c:ext xmlns:c16="http://schemas.microsoft.com/office/drawing/2014/chart" uri="{C3380CC4-5D6E-409C-BE32-E72D297353CC}">
              <c16:uniqueId val="{00000000-F6CC-4B19-8FE4-8EC17A6A5458}"/>
            </c:ext>
          </c:extLst>
        </c:ser>
        <c:ser>
          <c:idx val="1"/>
          <c:order val="1"/>
          <c:tx>
            <c:strRef>
              <c:f>Pivot_Persons_Mth!$A$8</c:f>
              <c:strCache>
                <c:ptCount val="1"/>
                <c:pt idx="0">
                  <c:v>08 Del Norte</c:v>
                </c:pt>
              </c:strCache>
            </c:strRef>
          </c:tx>
          <c:invertIfNegative val="0"/>
          <c:cat>
            <c:multiLvlStrRef>
              <c:f>Pivot_Persons_Mth!$A$8</c:f>
              <c:multiLvlStrCache>
                <c:ptCount val="2"/>
                <c:lvl>
                  <c:pt idx="0">
                    <c:v>January</c:v>
                  </c:pt>
                  <c:pt idx="1">
                    <c:v>February </c:v>
                  </c:pt>
                </c:lvl>
                <c:lvl>
                  <c:pt idx="0">
                    <c:v>2018</c:v>
                  </c:pt>
                </c:lvl>
              </c:multiLvlStrCache>
            </c:multiLvlStrRef>
          </c:cat>
          <c:val>
            <c:numRef>
              <c:f>Pivot_Persons_Mth!$A$8</c:f>
              <c:numCache>
                <c:formatCode>_(* #,##0_);_(* \(#,##0\);_(* "-"??_);_(@_)</c:formatCode>
                <c:ptCount val="2"/>
                <c:pt idx="0">
                  <c:v>5196</c:v>
                </c:pt>
                <c:pt idx="1">
                  <c:v>5134</c:v>
                </c:pt>
              </c:numCache>
            </c:numRef>
          </c:val>
          <c:extLst>
            <c:ext xmlns:c16="http://schemas.microsoft.com/office/drawing/2014/chart" uri="{C3380CC4-5D6E-409C-BE32-E72D297353CC}">
              <c16:uniqueId val="{00000001-F6CC-4B19-8FE4-8EC17A6A5458}"/>
            </c:ext>
          </c:extLst>
        </c:ser>
        <c:ser>
          <c:idx val="2"/>
          <c:order val="2"/>
          <c:tx>
            <c:strRef>
              <c:f>Pivot_Persons_Mth!$A$8</c:f>
              <c:strCache>
                <c:ptCount val="1"/>
                <c:pt idx="0">
                  <c:v>11 Glenn</c:v>
                </c:pt>
              </c:strCache>
            </c:strRef>
          </c:tx>
          <c:invertIfNegative val="0"/>
          <c:cat>
            <c:multiLvlStrRef>
              <c:f>Pivot_Persons_Mth!$A$8</c:f>
              <c:multiLvlStrCache>
                <c:ptCount val="2"/>
                <c:lvl>
                  <c:pt idx="0">
                    <c:v>January</c:v>
                  </c:pt>
                  <c:pt idx="1">
                    <c:v>February </c:v>
                  </c:pt>
                </c:lvl>
                <c:lvl>
                  <c:pt idx="0">
                    <c:v>2018</c:v>
                  </c:pt>
                </c:lvl>
              </c:multiLvlStrCache>
            </c:multiLvlStrRef>
          </c:cat>
          <c:val>
            <c:numRef>
              <c:f>Pivot_Persons_Mth!$A$8</c:f>
              <c:numCache>
                <c:formatCode>_(* #,##0_);_(* \(#,##0\);_(* "-"??_);_(@_)</c:formatCode>
                <c:ptCount val="2"/>
                <c:pt idx="0">
                  <c:v>3425</c:v>
                </c:pt>
                <c:pt idx="1">
                  <c:v>3411</c:v>
                </c:pt>
              </c:numCache>
            </c:numRef>
          </c:val>
          <c:extLst>
            <c:ext xmlns:c16="http://schemas.microsoft.com/office/drawing/2014/chart" uri="{C3380CC4-5D6E-409C-BE32-E72D297353CC}">
              <c16:uniqueId val="{00000002-F6CC-4B19-8FE4-8EC17A6A5458}"/>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(3.30.18).xlsx]Pivot_Churn!PivotTable1</c:name>
    <c:fmtId val="3"/>
  </c:pivotSource>
  <c:chart>
    <c:title>
      <c:tx>
        <c:strRef>
          <c:f>Pivot_Churn!$A$8</c:f>
          <c:strCache>
            <c:ptCount val="1"/>
            <c:pt idx="0">
              <c:v>30-Day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0.1166</c:v>
                </c:pt>
                <c:pt idx="1">
                  <c:v>0.1426</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01 Alameda</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c:v>
                </c:pt>
                <c:pt idx="1">
                  <c:v>0.1125</c:v>
                </c:pt>
              </c:numCache>
            </c:numRef>
          </c:val>
          <c:smooth val="0"/>
          <c:extLst>
            <c:ext xmlns:c16="http://schemas.microsoft.com/office/drawing/2014/chart" uri="{C3380CC4-5D6E-409C-BE32-E72D297353CC}">
              <c16:uniqueId val="{00000003-25EE-4A0C-B09C-96A3B7C71719}"/>
            </c:ext>
          </c:extLst>
        </c:ser>
        <c:ser>
          <c:idx val="2"/>
          <c:order val="2"/>
          <c:tx>
            <c:strRef>
              <c:f>Pivot_Churn!$A$8</c:f>
              <c:strCache>
                <c:ptCount val="1"/>
                <c:pt idx="0">
                  <c:v>38 San Francisco</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0.1004</c:v>
                </c:pt>
                <c:pt idx="1">
                  <c:v>0.1024</c:v>
                </c:pt>
              </c:numCache>
            </c:numRef>
          </c:val>
          <c:smooth val="0"/>
          <c:extLst>
            <c:ext xmlns:c16="http://schemas.microsoft.com/office/drawing/2014/chart" uri="{C3380CC4-5D6E-409C-BE32-E72D297353CC}">
              <c16:uniqueId val="{00000004-25EE-4A0C-B09C-96A3B7C71719}"/>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(3.30.18).xlsx]Pivot_Churn!PivotTable2</c:name>
    <c:fmtId val="2"/>
  </c:pivotSource>
  <c:chart>
    <c:title>
      <c:tx>
        <c:strRef>
          <c:f>Pivot_Churn!$A$44</c:f>
          <c:strCache>
            <c:ptCount val="1"/>
            <c:pt idx="0">
              <c:v>90-Day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0.1978</c:v>
                </c:pt>
                <c:pt idx="1">
                  <c:v>0.25159999999999999</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01 Alameda</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D2E0-4D9D-8C66-71D5922B5FA3}"/>
            </c:ext>
          </c:extLst>
        </c:ser>
        <c:ser>
          <c:idx val="2"/>
          <c:order val="2"/>
          <c:tx>
            <c:strRef>
              <c:f>Pivot_Churn!$A$44</c:f>
              <c:strCache>
                <c:ptCount val="1"/>
                <c:pt idx="0">
                  <c:v>38 San Francisco</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0.1847</c:v>
                </c:pt>
                <c:pt idx="1">
                  <c:v>0.20679999999999998</c:v>
                </c:pt>
              </c:numCache>
            </c:numRef>
          </c:val>
          <c:smooth val="0"/>
          <c:extLst>
            <c:ext xmlns:c16="http://schemas.microsoft.com/office/drawing/2014/chart" uri="{C3380CC4-5D6E-409C-BE32-E72D297353CC}">
              <c16:uniqueId val="{00000004-D2E0-4D9D-8C66-71D5922B5FA3}"/>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33 Riverside</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B811-4E07-A775-AAE7CD59B3C6}"/>
            </c:ext>
          </c:extLst>
        </c:ser>
        <c:ser>
          <c:idx val="1"/>
          <c:order val="1"/>
          <c:tx>
            <c:strRef>
              <c:f>Pivot_Churn!$A$90</c:f>
              <c:strCache>
                <c:ptCount val="1"/>
                <c:pt idx="0">
                  <c:v>36 San Bernardino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469B-4AC8-B6A8-39A3113D7841}"/>
            </c:ext>
          </c:extLst>
        </c:ser>
        <c:ser>
          <c:idx val="2"/>
          <c:order val="2"/>
          <c:tx>
            <c:strRef>
              <c:f>Pivot_Churn!$A$90</c:f>
              <c:strCache>
                <c:ptCount val="1"/>
                <c:pt idx="0">
                  <c:v>37 San Diego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469B-4AC8-B6A8-39A3113D7841}"/>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33 Riverside</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6566-4DA2-B0D5-2E0CD68F9028}"/>
            </c:ext>
          </c:extLst>
        </c:ser>
        <c:ser>
          <c:idx val="1"/>
          <c:order val="1"/>
          <c:tx>
            <c:strRef>
              <c:f>Pivot_Churn!$A$145</c:f>
              <c:strCache>
                <c:ptCount val="1"/>
                <c:pt idx="0">
                  <c:v>36 San Bernardino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C267-42D3-B5FF-408C63922A0A}"/>
            </c:ext>
          </c:extLst>
        </c:ser>
        <c:ser>
          <c:idx val="2"/>
          <c:order val="2"/>
          <c:tx>
            <c:strRef>
              <c:f>Pivot_Churn!$A$145</c:f>
              <c:strCache>
                <c:ptCount val="1"/>
                <c:pt idx="0">
                  <c:v>37 San Diego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C267-42D3-B5FF-408C63922A0A}"/>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02 Alpine</c:v>
                </c:pt>
              </c:strCache>
            </c:strRef>
          </c:tx>
          <c:cat>
            <c:multiLvlStrRef>
              <c:f>Pivot_ES!$A$48:$B$50</c:f>
              <c:multiLvlStrCache>
                <c:ptCount val="2"/>
                <c:lvl>
                  <c:pt idx="0">
                    <c:v>January</c:v>
                  </c:pt>
                  <c:pt idx="1">
                    <c:v>February </c:v>
                  </c:pt>
                </c:lvl>
                <c:lvl>
                  <c:pt idx="0">
                    <c:v>2018</c:v>
                  </c:pt>
                </c:lvl>
              </c:multiLvlStrCache>
            </c:multiLvlStrRef>
          </c:cat>
          <c:val>
            <c:numRef>
              <c:f>Pivot_ES!$C$48:$C$50</c:f>
              <c:numCache>
                <c:formatCode>0.0%</c:formatCode>
                <c:ptCount val="2"/>
                <c:pt idx="0">
                  <c:v>1</c:v>
                </c:pt>
                <c:pt idx="1">
                  <c:v>0.66666666666666663</c:v>
                </c:pt>
              </c:numCache>
            </c:numRef>
          </c:val>
          <c:smooth val="0"/>
          <c:extLst>
            <c:ext xmlns:c16="http://schemas.microsoft.com/office/drawing/2014/chart" uri="{C3380CC4-5D6E-409C-BE32-E72D297353CC}">
              <c16:uniqueId val="{00000000-5AEC-4CE2-94BE-5F9889102938}"/>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Pivot_Timeliness_Mthly!$A$106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0B6A-4475-B24F-6346D7A91046}"/>
            </c:ext>
          </c:extLst>
        </c:ser>
        <c:ser>
          <c:idx val="2"/>
          <c:order val="2"/>
          <c:tx>
            <c:strRef>
              <c:f>Pivot_Timeliness_Mthly!$A$106</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0B6A-4475-B24F-6346D7A91046}"/>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(3.30.18).xlsx]Pivot_NegErrorRt!PivotTable1</c:name>
    <c:fmtId val="2"/>
  </c:pivotSource>
  <c:chart>
    <c:title>
      <c:tx>
        <c:strRef>
          <c:f>Pivot_NegErrorRt!$A$2</c:f>
          <c:strCache>
            <c:ptCount val="1"/>
            <c:pt idx="0">
              <c:v>Negative Error Rate (Monthly Cumulative %),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3"/>
                <c:lvl>
                  <c:pt idx="0">
                    <c:v>January</c:v>
                  </c:pt>
                  <c:pt idx="1">
                    <c:v>February</c:v>
                  </c:pt>
                  <c:pt idx="2">
                    <c:v>March</c:v>
                  </c:pt>
                </c:lvl>
                <c:lvl>
                  <c:pt idx="0">
                    <c:v>2017</c:v>
                  </c:pt>
                </c:lvl>
              </c:multiLvlStrCache>
            </c:multiLvlStrRef>
          </c:cat>
          <c:val>
            <c:numRef>
              <c:f>Pivot_NegErrorRt!$A$2</c:f>
              <c:numCache>
                <c:formatCode>0.0%</c:formatCode>
                <c:ptCount val="3"/>
                <c:pt idx="0">
                  <c:v>0.39800000000000002</c:v>
                </c:pt>
                <c:pt idx="1">
                  <c:v>0.40600000000000003</c:v>
                </c:pt>
                <c:pt idx="2">
                  <c:v>0.39500000000000002</c:v>
                </c:pt>
              </c:numCache>
            </c:numRef>
          </c:val>
          <c:smooth val="0"/>
          <c:extLst>
            <c:ext xmlns:c16="http://schemas.microsoft.com/office/drawing/2014/chart" uri="{C3380CC4-5D6E-409C-BE32-E72D297353CC}">
              <c16:uniqueId val="{00000000-192B-406F-BD39-B83197077D09}"/>
            </c:ext>
          </c:extLst>
        </c:ser>
        <c:ser>
          <c:idx val="1"/>
          <c:order val="1"/>
          <c:tx>
            <c:strRef>
              <c:f>Pivot_NegErrorRt!$A$2</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3"/>
                <c:lvl>
                  <c:pt idx="0">
                    <c:v>January</c:v>
                  </c:pt>
                  <c:pt idx="1">
                    <c:v>February</c:v>
                  </c:pt>
                  <c:pt idx="2">
                    <c:v>March</c:v>
                  </c:pt>
                </c:lvl>
                <c:lvl>
                  <c:pt idx="0">
                    <c:v>2017</c:v>
                  </c:pt>
                </c:lvl>
              </c:multiLvlStrCache>
            </c:multiLvlStrRef>
          </c:cat>
          <c:val>
            <c:numRef>
              <c:f>Pivot_NegErrorRt!$A$2</c:f>
              <c:numCache>
                <c:formatCode>0.0%</c:formatCode>
                <c:ptCount val="3"/>
                <c:pt idx="0">
                  <c:v>0.5</c:v>
                </c:pt>
                <c:pt idx="1">
                  <c:v>0.54500000000000004</c:v>
                </c:pt>
                <c:pt idx="2">
                  <c:v>0.53800000000000003</c:v>
                </c:pt>
              </c:numCache>
            </c:numRef>
          </c:val>
          <c:smooth val="0"/>
          <c:extLst>
            <c:ext xmlns:c16="http://schemas.microsoft.com/office/drawing/2014/chart" uri="{C3380CC4-5D6E-409C-BE32-E72D297353CC}">
              <c16:uniqueId val="{00000001-0521-4157-876E-8E0A02E63F3D}"/>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(3.30.18).xlsx]Pivot_NegErrorRt!PivotTable2</c:name>
    <c:fmtId val="2"/>
  </c:pivotSource>
  <c:chart>
    <c:title>
      <c:tx>
        <c:strRef>
          <c:f>Pivot_NegErrorRt!$A$104</c:f>
          <c:strCache>
            <c:ptCount val="1"/>
            <c:pt idx="0">
              <c:v>Negative Error Rate Cases Completed (Monthly Cumulative),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3"/>
                <c:lvl>
                  <c:pt idx="0">
                    <c:v>January</c:v>
                  </c:pt>
                  <c:pt idx="1">
                    <c:v>February</c:v>
                  </c:pt>
                  <c:pt idx="2">
                    <c:v>March</c:v>
                  </c:pt>
                </c:lvl>
                <c:lvl>
                  <c:pt idx="0">
                    <c:v>2017</c:v>
                  </c:pt>
                </c:lvl>
              </c:multiLvlStrCache>
            </c:multiLvlStrRef>
          </c:cat>
          <c:val>
            <c:numRef>
              <c:f>Pivot_NegErrorRt!$A$104</c:f>
              <c:numCache>
                <c:formatCode>General</c:formatCode>
                <c:ptCount val="3"/>
                <c:pt idx="0">
                  <c:v>334</c:v>
                </c:pt>
                <c:pt idx="1">
                  <c:v>421</c:v>
                </c:pt>
                <c:pt idx="2">
                  <c:v>504</c:v>
                </c:pt>
              </c:numCache>
            </c:numRef>
          </c:val>
          <c:smooth val="0"/>
          <c:extLst>
            <c:ext xmlns:c16="http://schemas.microsoft.com/office/drawing/2014/chart" uri="{C3380CC4-5D6E-409C-BE32-E72D297353CC}">
              <c16:uniqueId val="{00000000-0884-4D3D-80BF-395C80628AD3}"/>
            </c:ext>
          </c:extLst>
        </c:ser>
        <c:ser>
          <c:idx val="1"/>
          <c:order val="1"/>
          <c:tx>
            <c:strRef>
              <c:f>Pivot_NegErrorRt!$A$104</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3"/>
                <c:lvl>
                  <c:pt idx="0">
                    <c:v>January</c:v>
                  </c:pt>
                  <c:pt idx="1">
                    <c:v>February</c:v>
                  </c:pt>
                  <c:pt idx="2">
                    <c:v>March</c:v>
                  </c:pt>
                </c:lvl>
                <c:lvl>
                  <c:pt idx="0">
                    <c:v>2017</c:v>
                  </c:pt>
                </c:lvl>
              </c:multiLvlStrCache>
            </c:multiLvlStrRef>
          </c:cat>
          <c:val>
            <c:numRef>
              <c:f>Pivot_NegErrorRt!$A$104</c:f>
              <c:numCache>
                <c:formatCode>General</c:formatCode>
                <c:ptCount val="3"/>
                <c:pt idx="0">
                  <c:v>8</c:v>
                </c:pt>
                <c:pt idx="1">
                  <c:v>11</c:v>
                </c:pt>
                <c:pt idx="2">
                  <c:v>13</c:v>
                </c:pt>
              </c:numCache>
            </c:numRef>
          </c:val>
          <c:smooth val="0"/>
          <c:extLst>
            <c:ext xmlns:c16="http://schemas.microsoft.com/office/drawing/2014/chart" uri="{C3380CC4-5D6E-409C-BE32-E72D297353CC}">
              <c16:uniqueId val="{00000001-A2A6-43D9-BBF5-FDD899B89607}"/>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(3.30.18).xlsx]Pivot_Demo_Gen_Pop!PivotTable1</c:name>
    <c:fmtId val="8"/>
  </c:pivotSource>
  <c:chart>
    <c:title>
      <c:tx>
        <c:strRef>
          <c:f>Pivot_Demo_Gen_Pop!$A$8</c:f>
          <c:strCache>
            <c:ptCount val="1"/>
            <c:pt idx="0">
              <c:v>Total Population,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37 San Diego</c:v>
                </c:pt>
              </c:strCache>
            </c:strRef>
          </c:tx>
          <c:invertIfNegative val="0"/>
          <c:cat>
            <c:strRef>
              <c:f>Pivot_Demo_Gen_Pop!$A$8</c:f>
              <c:strCache>
                <c:ptCount val="1"/>
                <c:pt idx="0">
                  <c:v>2015</c:v>
                </c:pt>
              </c:strCache>
            </c:strRef>
          </c:cat>
          <c:val>
            <c:numRef>
              <c:f>Pivot_Demo_Gen_Pop!$A$8</c:f>
              <c:numCache>
                <c:formatCode>#,##0</c:formatCode>
                <c:ptCount val="1"/>
                <c:pt idx="0">
                  <c:v>3275084</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38 San Francisco</c:v>
                </c:pt>
              </c:strCache>
            </c:strRef>
          </c:tx>
          <c:invertIfNegative val="0"/>
          <c:cat>
            <c:strRef>
              <c:f>Pivot_Demo_Gen_Pop!$A$8</c:f>
              <c:strCache>
                <c:ptCount val="1"/>
                <c:pt idx="0">
                  <c:v>2015</c:v>
                </c:pt>
              </c:strCache>
            </c:strRef>
          </c:cat>
          <c:val>
            <c:numRef>
              <c:f>Pivot_Demo_Gen_Pop!$A$8</c:f>
              <c:numCache>
                <c:formatCode>#,##0</c:formatCode>
                <c:ptCount val="1"/>
                <c:pt idx="0">
                  <c:v>863108</c:v>
                </c:pt>
              </c:numCache>
            </c:numRef>
          </c:val>
          <c:extLst>
            <c:ext xmlns:c16="http://schemas.microsoft.com/office/drawing/2014/chart" uri="{C3380CC4-5D6E-409C-BE32-E72D297353CC}">
              <c16:uniqueId val="{00000002-53E4-4537-885F-90727C99FE81}"/>
            </c:ext>
          </c:extLst>
        </c:ser>
        <c:ser>
          <c:idx val="2"/>
          <c:order val="2"/>
          <c:tx>
            <c:strRef>
              <c:f>Pivot_Demo_Gen_Pop!$A$8</c:f>
              <c:strCache>
                <c:ptCount val="1"/>
                <c:pt idx="0">
                  <c:v>39 San Joaquin</c:v>
                </c:pt>
              </c:strCache>
            </c:strRef>
          </c:tx>
          <c:invertIfNegative val="0"/>
          <c:cat>
            <c:strRef>
              <c:f>Pivot_Demo_Gen_Pop!$A$8</c:f>
              <c:strCache>
                <c:ptCount val="1"/>
                <c:pt idx="0">
                  <c:v>2015</c:v>
                </c:pt>
              </c:strCache>
            </c:strRef>
          </c:cat>
          <c:val>
            <c:numRef>
              <c:f>Pivot_Demo_Gen_Pop!$A$8</c:f>
              <c:numCache>
                <c:formatCode>#,##0</c:formatCode>
                <c:ptCount val="1"/>
                <c:pt idx="0">
                  <c:v>727547</c:v>
                </c:pt>
              </c:numCache>
            </c:numRef>
          </c:val>
          <c:extLst>
            <c:ext xmlns:c16="http://schemas.microsoft.com/office/drawing/2014/chart" uri="{C3380CC4-5D6E-409C-BE32-E72D297353CC}">
              <c16:uniqueId val="{00000003-53E4-4537-885F-90727C99FE81}"/>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(3.30.18).xlsx]Pivot_Demo_Gen_Pop!PivotTable2</c:name>
    <c:fmtId val="2"/>
  </c:pivotSource>
  <c:chart>
    <c:title>
      <c:tx>
        <c:strRef>
          <c:f>Pivot_Demo_Gen_Pop!$A$35</c:f>
          <c:strCache>
            <c:ptCount val="1"/>
            <c:pt idx="0">
              <c:v>Elderly Population (age 60+),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37 San Diego</c:v>
                </c:pt>
              </c:strCache>
            </c:strRef>
          </c:tx>
          <c:invertIfNegative val="0"/>
          <c:cat>
            <c:strRef>
              <c:f>Pivot_Demo_Gen_Pop!$A$35</c:f>
              <c:strCache>
                <c:ptCount val="1"/>
                <c:pt idx="0">
                  <c:v>2015</c:v>
                </c:pt>
              </c:strCache>
            </c:strRef>
          </c:cat>
          <c:val>
            <c:numRef>
              <c:f>Pivot_Demo_Gen_Pop!$A$35</c:f>
              <c:numCache>
                <c:formatCode>#,##0</c:formatCode>
                <c:ptCount val="1"/>
                <c:pt idx="0">
                  <c:v>613778</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38 San Francisco</c:v>
                </c:pt>
              </c:strCache>
            </c:strRef>
          </c:tx>
          <c:invertIfNegative val="0"/>
          <c:cat>
            <c:strRef>
              <c:f>Pivot_Demo_Gen_Pop!$A$35</c:f>
              <c:strCache>
                <c:ptCount val="1"/>
                <c:pt idx="0">
                  <c:v>2015</c:v>
                </c:pt>
              </c:strCache>
            </c:strRef>
          </c:cat>
          <c:val>
            <c:numRef>
              <c:f>Pivot_Demo_Gen_Pop!$A$35</c:f>
              <c:numCache>
                <c:formatCode>#,##0</c:formatCode>
                <c:ptCount val="1"/>
                <c:pt idx="0">
                  <c:v>183363</c:v>
                </c:pt>
              </c:numCache>
            </c:numRef>
          </c:val>
          <c:extLst>
            <c:ext xmlns:c16="http://schemas.microsoft.com/office/drawing/2014/chart" uri="{C3380CC4-5D6E-409C-BE32-E72D297353CC}">
              <c16:uniqueId val="{00000002-4684-4F19-8F72-47610B065F3C}"/>
            </c:ext>
          </c:extLst>
        </c:ser>
        <c:ser>
          <c:idx val="2"/>
          <c:order val="2"/>
          <c:tx>
            <c:strRef>
              <c:f>Pivot_Demo_Gen_Pop!$A$35</c:f>
              <c:strCache>
                <c:ptCount val="1"/>
                <c:pt idx="0">
                  <c:v>39 San Joaquin</c:v>
                </c:pt>
              </c:strCache>
            </c:strRef>
          </c:tx>
          <c:invertIfNegative val="0"/>
          <c:cat>
            <c:strRef>
              <c:f>Pivot_Demo_Gen_Pop!$A$35</c:f>
              <c:strCache>
                <c:ptCount val="1"/>
                <c:pt idx="0">
                  <c:v>2015</c:v>
                </c:pt>
              </c:strCache>
            </c:strRef>
          </c:cat>
          <c:val>
            <c:numRef>
              <c:f>Pivot_Demo_Gen_Pop!$A$35</c:f>
              <c:numCache>
                <c:formatCode>#,##0</c:formatCode>
                <c:ptCount val="1"/>
                <c:pt idx="0">
                  <c:v>123054</c:v>
                </c:pt>
              </c:numCache>
            </c:numRef>
          </c:val>
          <c:extLst>
            <c:ext xmlns:c16="http://schemas.microsoft.com/office/drawing/2014/chart" uri="{C3380CC4-5D6E-409C-BE32-E72D297353CC}">
              <c16:uniqueId val="{00000003-4684-4F19-8F72-47610B065F3C}"/>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(3.30.18).xlsx]Pivot_Demo_Gen_Pop!PivotTable3</c:name>
    <c:fmtId val="2"/>
  </c:pivotSource>
  <c:chart>
    <c:title>
      <c:tx>
        <c:strRef>
          <c:f>Pivot_Demo_Gen_Pop!$A$64</c:f>
          <c:strCache>
            <c:ptCount val="1"/>
            <c:pt idx="0">
              <c:v>Population Under Age 18, 2015</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37 San Diego</c:v>
                </c:pt>
              </c:strCache>
            </c:strRef>
          </c:tx>
          <c:invertIfNegative val="0"/>
          <c:cat>
            <c:strRef>
              <c:f>Pivot_Demo_Gen_Pop!$A$64</c:f>
              <c:strCache>
                <c:ptCount val="1"/>
                <c:pt idx="0">
                  <c:v>2015</c:v>
                </c:pt>
              </c:strCache>
            </c:strRef>
          </c:cat>
          <c:val>
            <c:numRef>
              <c:f>Pivot_Demo_Gen_Pop!$A$64</c:f>
              <c:numCache>
                <c:formatCode>#,##0</c:formatCode>
                <c:ptCount val="1"/>
                <c:pt idx="0">
                  <c:v>772594</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38 San Francisco</c:v>
                </c:pt>
              </c:strCache>
            </c:strRef>
          </c:tx>
          <c:invertIfNegative val="0"/>
          <c:cat>
            <c:strRef>
              <c:f>Pivot_Demo_Gen_Pop!$A$64</c:f>
              <c:strCache>
                <c:ptCount val="1"/>
                <c:pt idx="0">
                  <c:v>2015</c:v>
                </c:pt>
              </c:strCache>
            </c:strRef>
          </c:cat>
          <c:val>
            <c:numRef>
              <c:f>Pivot_Demo_Gen_Pop!$A$64</c:f>
              <c:numCache>
                <c:formatCode>#,##0</c:formatCode>
                <c:ptCount val="1"/>
                <c:pt idx="0">
                  <c:v>121514</c:v>
                </c:pt>
              </c:numCache>
            </c:numRef>
          </c:val>
          <c:extLst>
            <c:ext xmlns:c16="http://schemas.microsoft.com/office/drawing/2014/chart" uri="{C3380CC4-5D6E-409C-BE32-E72D297353CC}">
              <c16:uniqueId val="{00000002-F3B8-4C7A-9013-3FA3DF1C0159}"/>
            </c:ext>
          </c:extLst>
        </c:ser>
        <c:ser>
          <c:idx val="2"/>
          <c:order val="2"/>
          <c:tx>
            <c:strRef>
              <c:f>Pivot_Demo_Gen_Pop!$A$64</c:f>
              <c:strCache>
                <c:ptCount val="1"/>
                <c:pt idx="0">
                  <c:v>39 San Joaquin</c:v>
                </c:pt>
              </c:strCache>
            </c:strRef>
          </c:tx>
          <c:invertIfNegative val="0"/>
          <c:cat>
            <c:strRef>
              <c:f>Pivot_Demo_Gen_Pop!$A$64</c:f>
              <c:strCache>
                <c:ptCount val="1"/>
                <c:pt idx="0">
                  <c:v>2015</c:v>
                </c:pt>
              </c:strCache>
            </c:strRef>
          </c:cat>
          <c:val>
            <c:numRef>
              <c:f>Pivot_Demo_Gen_Pop!$A$64</c:f>
              <c:numCache>
                <c:formatCode>#,##0</c:formatCode>
                <c:ptCount val="1"/>
                <c:pt idx="0">
                  <c:v>198377</c:v>
                </c:pt>
              </c:numCache>
            </c:numRef>
          </c:val>
          <c:extLst>
            <c:ext xmlns:c16="http://schemas.microsoft.com/office/drawing/2014/chart" uri="{C3380CC4-5D6E-409C-BE32-E72D297353CC}">
              <c16:uniqueId val="{00000003-F3B8-4C7A-9013-3FA3DF1C0159}"/>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(3.30.18).xlsx]Pivot_Demo_Gen_Pop!PivotTable4</c:name>
    <c:fmtId val="2"/>
  </c:pivotSource>
  <c:chart>
    <c:title>
      <c:tx>
        <c:strRef>
          <c:f>Pivot_Demo_Gen_Pop!$A$93</c:f>
          <c:strCache>
            <c:ptCount val="1"/>
            <c:pt idx="0">
              <c:v>ESL Population (age 5+),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37 San Diego</c:v>
                </c:pt>
              </c:strCache>
            </c:strRef>
          </c:tx>
          <c:invertIfNegative val="0"/>
          <c:cat>
            <c:strRef>
              <c:f>Pivot_Demo_Gen_Pop!$A$93</c:f>
              <c:strCache>
                <c:ptCount val="1"/>
                <c:pt idx="0">
                  <c:v>2015</c:v>
                </c:pt>
              </c:strCache>
            </c:strRef>
          </c:cat>
          <c:val>
            <c:numRef>
              <c:f>Pivot_Demo_Gen_Pop!$A$93</c:f>
              <c:numCache>
                <c:formatCode>#,##0</c:formatCode>
                <c:ptCount val="1"/>
                <c:pt idx="0">
                  <c:v>231525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38 San Francisco</c:v>
                </c:pt>
              </c:strCache>
            </c:strRef>
          </c:tx>
          <c:invertIfNegative val="0"/>
          <c:cat>
            <c:strRef>
              <c:f>Pivot_Demo_Gen_Pop!$A$93</c:f>
              <c:strCache>
                <c:ptCount val="1"/>
                <c:pt idx="0">
                  <c:v>2015</c:v>
                </c:pt>
              </c:strCache>
            </c:strRef>
          </c:cat>
          <c:val>
            <c:numRef>
              <c:f>Pivot_Demo_Gen_Pop!$A$93</c:f>
              <c:numCache>
                <c:formatCode>#,##0</c:formatCode>
                <c:ptCount val="1"/>
                <c:pt idx="0">
                  <c:v>100767</c:v>
                </c:pt>
              </c:numCache>
            </c:numRef>
          </c:val>
          <c:extLst>
            <c:ext xmlns:c16="http://schemas.microsoft.com/office/drawing/2014/chart" uri="{C3380CC4-5D6E-409C-BE32-E72D297353CC}">
              <c16:uniqueId val="{00000002-CE57-40E0-971F-92FD7921BEDD}"/>
            </c:ext>
          </c:extLst>
        </c:ser>
        <c:ser>
          <c:idx val="2"/>
          <c:order val="2"/>
          <c:tx>
            <c:strRef>
              <c:f>Pivot_Demo_Gen_Pop!$A$93</c:f>
              <c:strCache>
                <c:ptCount val="1"/>
                <c:pt idx="0">
                  <c:v>39 San Joaquin</c:v>
                </c:pt>
              </c:strCache>
            </c:strRef>
          </c:tx>
          <c:invertIfNegative val="0"/>
          <c:cat>
            <c:strRef>
              <c:f>Pivot_Demo_Gen_Pop!$A$93</c:f>
              <c:strCache>
                <c:ptCount val="1"/>
                <c:pt idx="0">
                  <c:v>2015</c:v>
                </c:pt>
              </c:strCache>
            </c:strRef>
          </c:cat>
          <c:val>
            <c:numRef>
              <c:f>Pivot_Demo_Gen_Pop!$A$93</c:f>
              <c:numCache>
                <c:formatCode>#,##0</c:formatCode>
                <c:ptCount val="1"/>
                <c:pt idx="0">
                  <c:v>63826</c:v>
                </c:pt>
              </c:numCache>
            </c:numRef>
          </c:val>
          <c:extLst>
            <c:ext xmlns:c16="http://schemas.microsoft.com/office/drawing/2014/chart" uri="{C3380CC4-5D6E-409C-BE32-E72D297353CC}">
              <c16:uniqueId val="{00000003-CE57-40E0-971F-92FD7921BE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Pivot_HHs_Mth!$A$12:$B$12</c:f>
              <c:multiLvlStrCache>
                <c:ptCount val="1"/>
                <c:lvl>
                  <c:pt idx="0">
                    <c:v>February </c:v>
                  </c:pt>
                </c:lvl>
                <c:lvl>
                  <c:pt idx="0">
                    <c:v>2018</c:v>
                  </c:pt>
                </c:lvl>
              </c:multiLvlStrCache>
            </c:multiLvlStrRef>
          </c:cat>
          <c:val>
            <c:numRef>
              <c:f>Pivot_HHs_Mth!$C$12</c:f>
              <c:numCache>
                <c:formatCode>#,##0</c:formatCode>
                <c:ptCount val="1"/>
                <c:pt idx="0">
                  <c:v>547867</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Pivot_HHs_Mth!$A$12:$B$12</c:f>
              <c:multiLvlStrCache>
                <c:ptCount val="1"/>
                <c:lvl>
                  <c:pt idx="0">
                    <c:v>February </c:v>
                  </c:pt>
                </c:lvl>
                <c:lvl>
                  <c:pt idx="0">
                    <c:v>2018</c:v>
                  </c:pt>
                </c:lvl>
              </c:multiLvlStrCache>
            </c:multiLvlStrRef>
          </c:cat>
          <c:val>
            <c:numRef>
              <c:f>Pivot_HHs_Mth!$D$12</c:f>
              <c:numCache>
                <c:formatCode>#,##0</c:formatCode>
                <c:ptCount val="1"/>
                <c:pt idx="0">
                  <c:v>111321</c:v>
                </c:pt>
              </c:numCache>
            </c:numRef>
          </c:val>
          <c:extLst>
            <c:ext xmlns:c16="http://schemas.microsoft.com/office/drawing/2014/chart" uri="{C3380CC4-5D6E-409C-BE32-E72D297353CC}">
              <c16:uniqueId val="{00000000-D161-420E-BD4D-5714B86B071E}"/>
            </c:ext>
          </c:extLst>
        </c:ser>
        <c:ser>
          <c:idx val="2"/>
          <c:order val="2"/>
          <c:tx>
            <c:strRef>
              <c:f>Pivot_HHs_Mth!$E$10:$E$11</c:f>
              <c:strCache>
                <c:ptCount val="1"/>
                <c:pt idx="0">
                  <c:v>33 Riverside</c:v>
                </c:pt>
              </c:strCache>
            </c:strRef>
          </c:tx>
          <c:invertIfNegative val="0"/>
          <c:cat>
            <c:multiLvlStrRef>
              <c:f>Pivot_HHs_Mth!$A$12:$B$12</c:f>
              <c:multiLvlStrCache>
                <c:ptCount val="1"/>
                <c:lvl>
                  <c:pt idx="0">
                    <c:v>February </c:v>
                  </c:pt>
                </c:lvl>
                <c:lvl>
                  <c:pt idx="0">
                    <c:v>2018</c:v>
                  </c:pt>
                </c:lvl>
              </c:multiLvlStrCache>
            </c:multiLvlStrRef>
          </c:cat>
          <c:val>
            <c:numRef>
              <c:f>Pivot_HHs_Mth!$E$12</c:f>
              <c:numCache>
                <c:formatCode>#,##0</c:formatCode>
                <c:ptCount val="1"/>
                <c:pt idx="0">
                  <c:v>117728</c:v>
                </c:pt>
              </c:numCache>
            </c:numRef>
          </c:val>
          <c:extLst>
            <c:ext xmlns:c16="http://schemas.microsoft.com/office/drawing/2014/chart" uri="{C3380CC4-5D6E-409C-BE32-E72D297353CC}">
              <c16:uniqueId val="{00000001-D161-420E-BD4D-5714B86B071E}"/>
            </c:ext>
          </c:extLst>
        </c:ser>
        <c:ser>
          <c:idx val="3"/>
          <c:order val="3"/>
          <c:tx>
            <c:strRef>
              <c:f>Pivot_HHs_Mth!$F$10:$F$11</c:f>
              <c:strCache>
                <c:ptCount val="1"/>
                <c:pt idx="0">
                  <c:v>36 San Bernardino</c:v>
                </c:pt>
              </c:strCache>
            </c:strRef>
          </c:tx>
          <c:invertIfNegative val="0"/>
          <c:cat>
            <c:multiLvlStrRef>
              <c:f>Pivot_HHs_Mth!$A$12:$B$12</c:f>
              <c:multiLvlStrCache>
                <c:ptCount val="1"/>
                <c:lvl>
                  <c:pt idx="0">
                    <c:v>February </c:v>
                  </c:pt>
                </c:lvl>
                <c:lvl>
                  <c:pt idx="0">
                    <c:v>2018</c:v>
                  </c:pt>
                </c:lvl>
              </c:multiLvlStrCache>
            </c:multiLvlStrRef>
          </c:cat>
          <c:val>
            <c:numRef>
              <c:f>Pivot_HHs_Mth!$F$12</c:f>
              <c:numCache>
                <c:formatCode>#,##0</c:formatCode>
                <c:ptCount val="1"/>
                <c:pt idx="0">
                  <c:v>158956</c:v>
                </c:pt>
              </c:numCache>
            </c:numRef>
          </c:val>
          <c:extLst>
            <c:ext xmlns:c16="http://schemas.microsoft.com/office/drawing/2014/chart" uri="{C3380CC4-5D6E-409C-BE32-E72D297353CC}">
              <c16:uniqueId val="{00000002-D161-420E-BD4D-5714B86B071E}"/>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06 Colusa</c:v>
                </c:pt>
              </c:strCache>
            </c:strRef>
          </c:tx>
          <c:invertIfNegative val="0"/>
          <c:cat>
            <c:multiLvlStrRef>
              <c:f>Pivot_Persons_Mth!$A$14:$B$15</c:f>
              <c:multiLvlStrCache>
                <c:ptCount val="2"/>
                <c:lvl>
                  <c:pt idx="0">
                    <c:v>January</c:v>
                  </c:pt>
                  <c:pt idx="1">
                    <c:v>February </c:v>
                  </c:pt>
                </c:lvl>
                <c:lvl>
                  <c:pt idx="0">
                    <c:v>2018</c:v>
                  </c:pt>
                </c:lvl>
              </c:multiLvlStrCache>
            </c:multiLvlStrRef>
          </c:cat>
          <c:val>
            <c:numRef>
              <c:f>Pivot_Persons_Mth!$C$14:$C$15</c:f>
              <c:numCache>
                <c:formatCode>_(* #,##0_);_(* \(#,##0\);_(* "-"??_);_(@_)</c:formatCode>
                <c:ptCount val="2"/>
                <c:pt idx="0">
                  <c:v>1486</c:v>
                </c:pt>
                <c:pt idx="1">
                  <c:v>1475</c:v>
                </c:pt>
              </c:numCache>
            </c:numRef>
          </c:val>
          <c:extLst>
            <c:ext xmlns:c16="http://schemas.microsoft.com/office/drawing/2014/chart" uri="{C3380CC4-5D6E-409C-BE32-E72D297353CC}">
              <c16:uniqueId val="{00000000-6ABF-4931-9719-C1523D1EDE8B}"/>
            </c:ext>
          </c:extLst>
        </c:ser>
        <c:ser>
          <c:idx val="1"/>
          <c:order val="1"/>
          <c:tx>
            <c:strRef>
              <c:f>Pivot_Persons_Mth!$D$12:$D$13</c:f>
              <c:strCache>
                <c:ptCount val="1"/>
                <c:pt idx="0">
                  <c:v>08 Del Norte</c:v>
                </c:pt>
              </c:strCache>
            </c:strRef>
          </c:tx>
          <c:invertIfNegative val="0"/>
          <c:cat>
            <c:multiLvlStrRef>
              <c:f>Pivot_Persons_Mth!$A$14:$B$15</c:f>
              <c:multiLvlStrCache>
                <c:ptCount val="2"/>
                <c:lvl>
                  <c:pt idx="0">
                    <c:v>January</c:v>
                  </c:pt>
                  <c:pt idx="1">
                    <c:v>February </c:v>
                  </c:pt>
                </c:lvl>
                <c:lvl>
                  <c:pt idx="0">
                    <c:v>2018</c:v>
                  </c:pt>
                </c:lvl>
              </c:multiLvlStrCache>
            </c:multiLvlStrRef>
          </c:cat>
          <c:val>
            <c:numRef>
              <c:f>Pivot_Persons_Mth!$D$14:$D$15</c:f>
              <c:numCache>
                <c:formatCode>_(* #,##0_);_(* \(#,##0\);_(* "-"??_);_(@_)</c:formatCode>
                <c:ptCount val="2"/>
                <c:pt idx="0">
                  <c:v>5196</c:v>
                </c:pt>
                <c:pt idx="1">
                  <c:v>5134</c:v>
                </c:pt>
              </c:numCache>
            </c:numRef>
          </c:val>
          <c:extLst>
            <c:ext xmlns:c16="http://schemas.microsoft.com/office/drawing/2014/chart" uri="{C3380CC4-5D6E-409C-BE32-E72D297353CC}">
              <c16:uniqueId val="{00000001-6ABF-4931-9719-C1523D1EDE8B}"/>
            </c:ext>
          </c:extLst>
        </c:ser>
        <c:ser>
          <c:idx val="2"/>
          <c:order val="2"/>
          <c:tx>
            <c:strRef>
              <c:f>Pivot_Persons_Mth!$E$12:$E$13</c:f>
              <c:strCache>
                <c:ptCount val="1"/>
                <c:pt idx="0">
                  <c:v>11 Glenn</c:v>
                </c:pt>
              </c:strCache>
            </c:strRef>
          </c:tx>
          <c:invertIfNegative val="0"/>
          <c:cat>
            <c:multiLvlStrRef>
              <c:f>Pivot_Persons_Mth!$A$14:$B$15</c:f>
              <c:multiLvlStrCache>
                <c:ptCount val="2"/>
                <c:lvl>
                  <c:pt idx="0">
                    <c:v>January</c:v>
                  </c:pt>
                  <c:pt idx="1">
                    <c:v>February </c:v>
                  </c:pt>
                </c:lvl>
                <c:lvl>
                  <c:pt idx="0">
                    <c:v>2018</c:v>
                  </c:pt>
                </c:lvl>
              </c:multiLvlStrCache>
            </c:multiLvlStrRef>
          </c:cat>
          <c:val>
            <c:numRef>
              <c:f>Pivot_Persons_Mth!$E$14:$E$15</c:f>
              <c:numCache>
                <c:formatCode>_(* #,##0_);_(* \(#,##0\);_(* "-"??_);_(@_)</c:formatCode>
                <c:ptCount val="2"/>
                <c:pt idx="0">
                  <c:v>3425</c:v>
                </c:pt>
                <c:pt idx="1">
                  <c:v>3411</c:v>
                </c:pt>
              </c:numCache>
            </c:numRef>
          </c:val>
          <c:extLst>
            <c:ext xmlns:c16="http://schemas.microsoft.com/office/drawing/2014/chart" uri="{C3380CC4-5D6E-409C-BE32-E72D297353CC}">
              <c16:uniqueId val="{00000002-6ABF-4931-9719-C1523D1EDE8B}"/>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Pivot_Timeliness_Mthly!$B$109:$B$110</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772D-4650-8622-56D867DEC2DF}"/>
            </c:ext>
          </c:extLst>
        </c:ser>
        <c:ser>
          <c:idx val="2"/>
          <c:order val="2"/>
          <c:tx>
            <c:strRef>
              <c:f>Pivot_Timeliness_Mthly!$D$109:$D$110</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772D-4650-8622-56D867DEC2DF}"/>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02 Alpine</c:v>
                </c:pt>
              </c:strCache>
            </c:strRef>
          </c:tx>
          <c:cat>
            <c:multiLvlStrRef>
              <c:f>Pivot_ES!$A$48:$B$50</c:f>
              <c:multiLvlStrCache>
                <c:ptCount val="2"/>
                <c:lvl>
                  <c:pt idx="0">
                    <c:v>January</c:v>
                  </c:pt>
                  <c:pt idx="1">
                    <c:v>February </c:v>
                  </c:pt>
                </c:lvl>
                <c:lvl>
                  <c:pt idx="0">
                    <c:v>2018</c:v>
                  </c:pt>
                </c:lvl>
              </c:multiLvlStrCache>
            </c:multiLvlStrRef>
          </c:cat>
          <c:val>
            <c:numRef>
              <c:f>Pivot_ES!$C$48:$C$50</c:f>
              <c:numCache>
                <c:formatCode>0.0%</c:formatCode>
                <c:ptCount val="2"/>
                <c:pt idx="0">
                  <c:v>1</c:v>
                </c:pt>
                <c:pt idx="1">
                  <c:v>0.66666666666666663</c:v>
                </c:pt>
              </c:numCache>
            </c:numRef>
          </c:val>
          <c:smooth val="0"/>
          <c:extLst>
            <c:ext xmlns:c16="http://schemas.microsoft.com/office/drawing/2014/chart" uri="{C3380CC4-5D6E-409C-BE32-E72D297353CC}">
              <c16:uniqueId val="{00000000-6756-4CC5-A812-0721A4361F9D}"/>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Pivot_Churn!$C$13:$C$16</c:f>
              <c:numCache>
                <c:formatCode>0.0%</c:formatCode>
                <c:ptCount val="2"/>
                <c:pt idx="0">
                  <c:v>0.1166</c:v>
                </c:pt>
                <c:pt idx="1">
                  <c:v>0.1426</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01 Alameda</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Pivot_Churn!$D$13:$D$16</c:f>
              <c:numCache>
                <c:formatCode>0.0%</c:formatCode>
                <c:ptCount val="2"/>
                <c:pt idx="0">
                  <c:v>0.11</c:v>
                </c:pt>
                <c:pt idx="1">
                  <c:v>0.1125</c:v>
                </c:pt>
              </c:numCache>
            </c:numRef>
          </c:val>
          <c:smooth val="0"/>
          <c:extLst>
            <c:ext xmlns:c16="http://schemas.microsoft.com/office/drawing/2014/chart" uri="{C3380CC4-5D6E-409C-BE32-E72D297353CC}">
              <c16:uniqueId val="{00000003-5D19-418E-97BE-E5960266BBA4}"/>
            </c:ext>
          </c:extLst>
        </c:ser>
        <c:ser>
          <c:idx val="2"/>
          <c:order val="2"/>
          <c:tx>
            <c:strRef>
              <c:f>Pivot_Churn!$E$11:$E$12</c:f>
              <c:strCache>
                <c:ptCount val="1"/>
                <c:pt idx="0">
                  <c:v>38 San Francisco</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Pivot_Churn!$E$13:$E$16</c:f>
              <c:numCache>
                <c:formatCode>0.0%</c:formatCode>
                <c:ptCount val="2"/>
                <c:pt idx="0">
                  <c:v>0.1004</c:v>
                </c:pt>
                <c:pt idx="1">
                  <c:v>0.1024</c:v>
                </c:pt>
              </c:numCache>
            </c:numRef>
          </c:val>
          <c:smooth val="0"/>
          <c:extLst>
            <c:ext xmlns:c16="http://schemas.microsoft.com/office/drawing/2014/chart" uri="{C3380CC4-5D6E-409C-BE32-E72D297353CC}">
              <c16:uniqueId val="{00000004-5D19-418E-97BE-E5960266BBA4}"/>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Pivot_Churn!$C$49:$C$52</c:f>
              <c:numCache>
                <c:formatCode>0.0%</c:formatCode>
                <c:ptCount val="2"/>
                <c:pt idx="0">
                  <c:v>0.1978</c:v>
                </c:pt>
                <c:pt idx="1">
                  <c:v>0.25159999999999999</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01 Alameda</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Pivot_Churn!$D$49:$D$52</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7345-4E48-A53C-973B82E64607}"/>
            </c:ext>
          </c:extLst>
        </c:ser>
        <c:ser>
          <c:idx val="2"/>
          <c:order val="2"/>
          <c:tx>
            <c:strRef>
              <c:f>Pivot_Churn!$E$47:$E$48</c:f>
              <c:strCache>
                <c:ptCount val="1"/>
                <c:pt idx="0">
                  <c:v>38 San Francisco</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Pivot_Churn!$E$49:$E$52</c:f>
              <c:numCache>
                <c:formatCode>0.0%</c:formatCode>
                <c:ptCount val="2"/>
                <c:pt idx="0">
                  <c:v>0.1847</c:v>
                </c:pt>
                <c:pt idx="1">
                  <c:v>0.20679999999999998</c:v>
                </c:pt>
              </c:numCache>
            </c:numRef>
          </c:val>
          <c:smooth val="0"/>
          <c:extLst>
            <c:ext xmlns:c16="http://schemas.microsoft.com/office/drawing/2014/chart" uri="{C3380CC4-5D6E-409C-BE32-E72D297353CC}">
              <c16:uniqueId val="{00000004-7345-4E48-A53C-973B82E64607}"/>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33 Riverside</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Pivot_Churn!$C$95:$C$102</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41DB-442C-806B-D946D73A9A2C}"/>
            </c:ext>
          </c:extLst>
        </c:ser>
        <c:ser>
          <c:idx val="1"/>
          <c:order val="1"/>
          <c:tx>
            <c:strRef>
              <c:f>Pivot_Churn!$D$93:$D$94</c:f>
              <c:strCache>
                <c:ptCount val="1"/>
                <c:pt idx="0">
                  <c:v>36 San Bernardino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Pivot_Churn!$D$95:$D$102</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BE48-4858-8782-F40A3E5E1651}"/>
            </c:ext>
          </c:extLst>
        </c:ser>
        <c:ser>
          <c:idx val="2"/>
          <c:order val="2"/>
          <c:tx>
            <c:strRef>
              <c:f>Pivot_Churn!$E$93:$E$94</c:f>
              <c:strCache>
                <c:ptCount val="1"/>
                <c:pt idx="0">
                  <c:v>37 San Diego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Pivot_Churn!$E$95:$E$102</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BE48-4858-8782-F40A3E5E1651}"/>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33 Riverside</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Pivot_Churn!$C$148:$C$155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D777-43EE-A4B9-3C6CF4811476}"/>
            </c:ext>
          </c:extLst>
        </c:ser>
        <c:ser>
          <c:idx val="1"/>
          <c:order val="1"/>
          <c:tx>
            <c:strRef>
              <c:f>Pivot_Churn!$D$146:$D$147</c:f>
              <c:strCache>
                <c:ptCount val="1"/>
                <c:pt idx="0">
                  <c:v>36 San Bernardino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Pivot_Churn!$D$148:$D$155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9486-4EBB-AA2A-269D76788115}"/>
            </c:ext>
          </c:extLst>
        </c:ser>
        <c:ser>
          <c:idx val="2"/>
          <c:order val="2"/>
          <c:tx>
            <c:strRef>
              <c:f>Pivot_Churn!$E$146:$E$147</c:f>
              <c:strCache>
                <c:ptCount val="1"/>
                <c:pt idx="0">
                  <c:v>37 San Diego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Pivot_Churn!$E$148:$E$155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9486-4EBB-AA2A-269D76788115}"/>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37 San Diego</c:v>
                </c:pt>
              </c:strCache>
            </c:strRef>
          </c:tx>
          <c:invertIfNegative val="0"/>
          <c:cat>
            <c:strRef>
              <c:f>Pivot_Demo_Gen_Pop!$A$13</c:f>
              <c:strCache>
                <c:ptCount val="1"/>
                <c:pt idx="0">
                  <c:v>2015</c:v>
                </c:pt>
              </c:strCache>
            </c:strRef>
          </c:cat>
          <c:val>
            <c:numRef>
              <c:f>Pivot_Demo_Gen_Pop!$B$13</c:f>
              <c:numCache>
                <c:formatCode>#,##0</c:formatCode>
                <c:ptCount val="1"/>
                <c:pt idx="0">
                  <c:v>3275084</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38 San Francisco</c:v>
                </c:pt>
              </c:strCache>
            </c:strRef>
          </c:tx>
          <c:invertIfNegative val="0"/>
          <c:cat>
            <c:strRef>
              <c:f>Pivot_Demo_Gen_Pop!$A$13</c:f>
              <c:strCache>
                <c:ptCount val="1"/>
                <c:pt idx="0">
                  <c:v>2015</c:v>
                </c:pt>
              </c:strCache>
            </c:strRef>
          </c:cat>
          <c:val>
            <c:numRef>
              <c:f>Pivot_Demo_Gen_Pop!$C$13</c:f>
              <c:numCache>
                <c:formatCode>#,##0</c:formatCode>
                <c:ptCount val="1"/>
                <c:pt idx="0">
                  <c:v>863108</c:v>
                </c:pt>
              </c:numCache>
            </c:numRef>
          </c:val>
          <c:extLst>
            <c:ext xmlns:c16="http://schemas.microsoft.com/office/drawing/2014/chart" uri="{C3380CC4-5D6E-409C-BE32-E72D297353CC}">
              <c16:uniqueId val="{00000002-83B1-42AB-8E31-479E5190E8FB}"/>
            </c:ext>
          </c:extLst>
        </c:ser>
        <c:ser>
          <c:idx val="2"/>
          <c:order val="2"/>
          <c:tx>
            <c:strRef>
              <c:f>Pivot_Demo_Gen_Pop!$D$11:$D$12</c:f>
              <c:strCache>
                <c:ptCount val="1"/>
                <c:pt idx="0">
                  <c:v>39 San Joaquin</c:v>
                </c:pt>
              </c:strCache>
            </c:strRef>
          </c:tx>
          <c:invertIfNegative val="0"/>
          <c:cat>
            <c:strRef>
              <c:f>Pivot_Demo_Gen_Pop!$A$13</c:f>
              <c:strCache>
                <c:ptCount val="1"/>
                <c:pt idx="0">
                  <c:v>2015</c:v>
                </c:pt>
              </c:strCache>
            </c:strRef>
          </c:cat>
          <c:val>
            <c:numRef>
              <c:f>Pivot_Demo_Gen_Pop!$D$13</c:f>
              <c:numCache>
                <c:formatCode>#,##0</c:formatCode>
                <c:ptCount val="1"/>
                <c:pt idx="0">
                  <c:v>727547</c:v>
                </c:pt>
              </c:numCache>
            </c:numRef>
          </c:val>
          <c:extLst>
            <c:ext xmlns:c16="http://schemas.microsoft.com/office/drawing/2014/chart" uri="{C3380CC4-5D6E-409C-BE32-E72D297353CC}">
              <c16:uniqueId val="{00000003-83B1-42AB-8E31-479E5190E8FB}"/>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37 San Diego</c:v>
                </c:pt>
              </c:strCache>
            </c:strRef>
          </c:tx>
          <c:invertIfNegative val="0"/>
          <c:cat>
            <c:strRef>
              <c:f>Pivot_Demo_Gen_Pop!$A$40</c:f>
              <c:strCache>
                <c:ptCount val="1"/>
                <c:pt idx="0">
                  <c:v>2015</c:v>
                </c:pt>
              </c:strCache>
            </c:strRef>
          </c:cat>
          <c:val>
            <c:numRef>
              <c:f>Pivot_Demo_Gen_Pop!$B$40</c:f>
              <c:numCache>
                <c:formatCode>#,##0</c:formatCode>
                <c:ptCount val="1"/>
                <c:pt idx="0">
                  <c:v>613778</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38 San Francisco</c:v>
                </c:pt>
              </c:strCache>
            </c:strRef>
          </c:tx>
          <c:invertIfNegative val="0"/>
          <c:cat>
            <c:strRef>
              <c:f>Pivot_Demo_Gen_Pop!$A$40</c:f>
              <c:strCache>
                <c:ptCount val="1"/>
                <c:pt idx="0">
                  <c:v>2015</c:v>
                </c:pt>
              </c:strCache>
            </c:strRef>
          </c:cat>
          <c:val>
            <c:numRef>
              <c:f>Pivot_Demo_Gen_Pop!$C$40</c:f>
              <c:numCache>
                <c:formatCode>#,##0</c:formatCode>
                <c:ptCount val="1"/>
                <c:pt idx="0">
                  <c:v>183363</c:v>
                </c:pt>
              </c:numCache>
            </c:numRef>
          </c:val>
          <c:extLst>
            <c:ext xmlns:c16="http://schemas.microsoft.com/office/drawing/2014/chart" uri="{C3380CC4-5D6E-409C-BE32-E72D297353CC}">
              <c16:uniqueId val="{00000002-4EE3-4E22-9848-DEE4038ACE7C}"/>
            </c:ext>
          </c:extLst>
        </c:ser>
        <c:ser>
          <c:idx val="2"/>
          <c:order val="2"/>
          <c:tx>
            <c:strRef>
              <c:f>Pivot_Demo_Gen_Pop!$D$38:$D$39</c:f>
              <c:strCache>
                <c:ptCount val="1"/>
                <c:pt idx="0">
                  <c:v>39 San Joaquin</c:v>
                </c:pt>
              </c:strCache>
            </c:strRef>
          </c:tx>
          <c:invertIfNegative val="0"/>
          <c:cat>
            <c:strRef>
              <c:f>Pivot_Demo_Gen_Pop!$A$40</c:f>
              <c:strCache>
                <c:ptCount val="1"/>
                <c:pt idx="0">
                  <c:v>2015</c:v>
                </c:pt>
              </c:strCache>
            </c:strRef>
          </c:cat>
          <c:val>
            <c:numRef>
              <c:f>Pivot_Demo_Gen_Pop!$D$40</c:f>
              <c:numCache>
                <c:formatCode>#,##0</c:formatCode>
                <c:ptCount val="1"/>
                <c:pt idx="0">
                  <c:v>123054</c:v>
                </c:pt>
              </c:numCache>
            </c:numRef>
          </c:val>
          <c:extLst>
            <c:ext xmlns:c16="http://schemas.microsoft.com/office/drawing/2014/chart" uri="{C3380CC4-5D6E-409C-BE32-E72D297353CC}">
              <c16:uniqueId val="{00000003-4EE3-4E22-9848-DEE4038ACE7C}"/>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37 San Diego</c:v>
                </c:pt>
              </c:strCache>
            </c:strRef>
          </c:tx>
          <c:invertIfNegative val="0"/>
          <c:cat>
            <c:strRef>
              <c:f>Pivot_Demo_Gen_Pop!$A$69</c:f>
              <c:strCache>
                <c:ptCount val="1"/>
                <c:pt idx="0">
                  <c:v>2015</c:v>
                </c:pt>
              </c:strCache>
            </c:strRef>
          </c:cat>
          <c:val>
            <c:numRef>
              <c:f>Pivot_Demo_Gen_Pop!$B$69</c:f>
              <c:numCache>
                <c:formatCode>#,##0</c:formatCode>
                <c:ptCount val="1"/>
                <c:pt idx="0">
                  <c:v>772594</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38 San Francisco</c:v>
                </c:pt>
              </c:strCache>
            </c:strRef>
          </c:tx>
          <c:invertIfNegative val="0"/>
          <c:cat>
            <c:strRef>
              <c:f>Pivot_Demo_Gen_Pop!$A$69</c:f>
              <c:strCache>
                <c:ptCount val="1"/>
                <c:pt idx="0">
                  <c:v>2015</c:v>
                </c:pt>
              </c:strCache>
            </c:strRef>
          </c:cat>
          <c:val>
            <c:numRef>
              <c:f>Pivot_Demo_Gen_Pop!$C$69</c:f>
              <c:numCache>
                <c:formatCode>#,##0</c:formatCode>
                <c:ptCount val="1"/>
                <c:pt idx="0">
                  <c:v>121514</c:v>
                </c:pt>
              </c:numCache>
            </c:numRef>
          </c:val>
          <c:extLst>
            <c:ext xmlns:c16="http://schemas.microsoft.com/office/drawing/2014/chart" uri="{C3380CC4-5D6E-409C-BE32-E72D297353CC}">
              <c16:uniqueId val="{00000002-1659-4C41-896C-B252F732E5FA}"/>
            </c:ext>
          </c:extLst>
        </c:ser>
        <c:ser>
          <c:idx val="2"/>
          <c:order val="2"/>
          <c:tx>
            <c:strRef>
              <c:f>Pivot_Demo_Gen_Pop!$D$67:$D$68</c:f>
              <c:strCache>
                <c:ptCount val="1"/>
                <c:pt idx="0">
                  <c:v>39 San Joaquin</c:v>
                </c:pt>
              </c:strCache>
            </c:strRef>
          </c:tx>
          <c:invertIfNegative val="0"/>
          <c:cat>
            <c:strRef>
              <c:f>Pivot_Demo_Gen_Pop!$A$69</c:f>
              <c:strCache>
                <c:ptCount val="1"/>
                <c:pt idx="0">
                  <c:v>2015</c:v>
                </c:pt>
              </c:strCache>
            </c:strRef>
          </c:cat>
          <c:val>
            <c:numRef>
              <c:f>Pivot_Demo_Gen_Pop!$D$69</c:f>
              <c:numCache>
                <c:formatCode>#,##0</c:formatCode>
                <c:ptCount val="1"/>
                <c:pt idx="0">
                  <c:v>198377</c:v>
                </c:pt>
              </c:numCache>
            </c:numRef>
          </c:val>
          <c:extLst>
            <c:ext xmlns:c16="http://schemas.microsoft.com/office/drawing/2014/chart" uri="{C3380CC4-5D6E-409C-BE32-E72D297353CC}">
              <c16:uniqueId val="{00000003-1659-4C41-896C-B252F732E5FA}"/>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37 San Diego</c:v>
                </c:pt>
              </c:strCache>
            </c:strRef>
          </c:tx>
          <c:invertIfNegative val="0"/>
          <c:cat>
            <c:strRef>
              <c:f>Pivot_Demo_Gen_Pop!$A$98</c:f>
              <c:strCache>
                <c:ptCount val="1"/>
                <c:pt idx="0">
                  <c:v>2015</c:v>
                </c:pt>
              </c:strCache>
            </c:strRef>
          </c:cat>
          <c:val>
            <c:numRef>
              <c:f>Pivot_Demo_Gen_Pop!$B$98</c:f>
              <c:numCache>
                <c:formatCode>#,##0</c:formatCode>
                <c:ptCount val="1"/>
                <c:pt idx="0">
                  <c:v>231525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38 San Francisco</c:v>
                </c:pt>
              </c:strCache>
            </c:strRef>
          </c:tx>
          <c:invertIfNegative val="0"/>
          <c:cat>
            <c:strRef>
              <c:f>Pivot_Demo_Gen_Pop!$A$98</c:f>
              <c:strCache>
                <c:ptCount val="1"/>
                <c:pt idx="0">
                  <c:v>2015</c:v>
                </c:pt>
              </c:strCache>
            </c:strRef>
          </c:cat>
          <c:val>
            <c:numRef>
              <c:f>Pivot_Demo_Gen_Pop!$C$98</c:f>
              <c:numCache>
                <c:formatCode>#,##0</c:formatCode>
                <c:ptCount val="1"/>
                <c:pt idx="0">
                  <c:v>100767</c:v>
                </c:pt>
              </c:numCache>
            </c:numRef>
          </c:val>
          <c:extLst>
            <c:ext xmlns:c16="http://schemas.microsoft.com/office/drawing/2014/chart" uri="{C3380CC4-5D6E-409C-BE32-E72D297353CC}">
              <c16:uniqueId val="{00000002-312E-4076-9103-9289CA694311}"/>
            </c:ext>
          </c:extLst>
        </c:ser>
        <c:ser>
          <c:idx val="2"/>
          <c:order val="2"/>
          <c:tx>
            <c:strRef>
              <c:f>Pivot_Demo_Gen_Pop!$D$96:$D$97</c:f>
              <c:strCache>
                <c:ptCount val="1"/>
                <c:pt idx="0">
                  <c:v>39 San Joaquin</c:v>
                </c:pt>
              </c:strCache>
            </c:strRef>
          </c:tx>
          <c:invertIfNegative val="0"/>
          <c:cat>
            <c:strRef>
              <c:f>Pivot_Demo_Gen_Pop!$A$98</c:f>
              <c:strCache>
                <c:ptCount val="1"/>
                <c:pt idx="0">
                  <c:v>2015</c:v>
                </c:pt>
              </c:strCache>
            </c:strRef>
          </c:cat>
          <c:val>
            <c:numRef>
              <c:f>Pivot_Demo_Gen_Pop!$D$98</c:f>
              <c:numCache>
                <c:formatCode>#,##0</c:formatCode>
                <c:ptCount val="1"/>
                <c:pt idx="0">
                  <c:v>63826</c:v>
                </c:pt>
              </c:numCache>
            </c:numRef>
          </c:val>
          <c:extLst>
            <c:ext xmlns:c16="http://schemas.microsoft.com/office/drawing/2014/chart" uri="{C3380CC4-5D6E-409C-BE32-E72D297353CC}">
              <c16:uniqueId val="{00000003-312E-4076-9103-9289CA694311}"/>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Pivot_NegErrorRt!$A$7:$A$10</c:f>
              <c:multiLvlStrCache>
                <c:ptCount val="3"/>
                <c:lvl>
                  <c:pt idx="0">
                    <c:v>January</c:v>
                  </c:pt>
                  <c:pt idx="1">
                    <c:v>February</c:v>
                  </c:pt>
                  <c:pt idx="2">
                    <c:v>March</c:v>
                  </c:pt>
                </c:lvl>
                <c:lvl>
                  <c:pt idx="0">
                    <c:v>2017</c:v>
                  </c:pt>
                </c:lvl>
              </c:multiLvlStrCache>
            </c:multiLvlStrRef>
          </c:cat>
          <c:val>
            <c:numRef>
              <c:f>Pivot_NegErrorRt!$B$7:$B$10</c:f>
              <c:numCache>
                <c:formatCode>0.0%</c:formatCode>
                <c:ptCount val="3"/>
                <c:pt idx="0">
                  <c:v>0.39800000000000002</c:v>
                </c:pt>
                <c:pt idx="1">
                  <c:v>0.40600000000000003</c:v>
                </c:pt>
                <c:pt idx="2">
                  <c:v>0.39500000000000002</c:v>
                </c:pt>
              </c:numCache>
            </c:numRef>
          </c:val>
          <c:smooth val="0"/>
          <c:extLst>
            <c:ext xmlns:c16="http://schemas.microsoft.com/office/drawing/2014/chart" uri="{C3380CC4-5D6E-409C-BE32-E72D297353CC}">
              <c16:uniqueId val="{00000000-4259-4B3A-8248-03BBD8DB138D}"/>
            </c:ext>
          </c:extLst>
        </c:ser>
        <c:ser>
          <c:idx val="1"/>
          <c:order val="1"/>
          <c:tx>
            <c:strRef>
              <c:f>Pivot_NegErrorRt!$C$5:$C$6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Pivot_NegErrorRt!$A$7:$A$10</c:f>
              <c:multiLvlStrCache>
                <c:ptCount val="3"/>
                <c:lvl>
                  <c:pt idx="0">
                    <c:v>January</c:v>
                  </c:pt>
                  <c:pt idx="1">
                    <c:v>February</c:v>
                  </c:pt>
                  <c:pt idx="2">
                    <c:v>March</c:v>
                  </c:pt>
                </c:lvl>
                <c:lvl>
                  <c:pt idx="0">
                    <c:v>2017</c:v>
                  </c:pt>
                </c:lvl>
              </c:multiLvlStrCache>
            </c:multiLvlStrRef>
          </c:cat>
          <c:val>
            <c:numRef>
              <c:f>Pivot_NegErrorRt!$C$7:$C$10</c:f>
              <c:numCache>
                <c:formatCode>0.0%</c:formatCode>
                <c:ptCount val="3"/>
                <c:pt idx="0">
                  <c:v>0.5</c:v>
                </c:pt>
                <c:pt idx="1">
                  <c:v>0.54500000000000004</c:v>
                </c:pt>
                <c:pt idx="2">
                  <c:v>0.53800000000000003</c:v>
                </c:pt>
              </c:numCache>
            </c:numRef>
          </c:val>
          <c:smooth val="0"/>
          <c:extLst>
            <c:ext xmlns:c16="http://schemas.microsoft.com/office/drawing/2014/chart" uri="{C3380CC4-5D6E-409C-BE32-E72D297353CC}">
              <c16:uniqueId val="{00000001-6427-4FAC-90FA-B448C4389096}"/>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Pivot_NegErrorRt!$A$109:$A$112</c:f>
              <c:multiLvlStrCache>
                <c:ptCount val="3"/>
                <c:lvl>
                  <c:pt idx="0">
                    <c:v>January</c:v>
                  </c:pt>
                  <c:pt idx="1">
                    <c:v>February</c:v>
                  </c:pt>
                  <c:pt idx="2">
                    <c:v>March</c:v>
                  </c:pt>
                </c:lvl>
                <c:lvl>
                  <c:pt idx="0">
                    <c:v>2017</c:v>
                  </c:pt>
                </c:lvl>
              </c:multiLvlStrCache>
            </c:multiLvlStrRef>
          </c:cat>
          <c:val>
            <c:numRef>
              <c:f>Pivot_NegErrorRt!$B$109:$B$112</c:f>
              <c:numCache>
                <c:formatCode>General</c:formatCode>
                <c:ptCount val="3"/>
                <c:pt idx="0">
                  <c:v>334</c:v>
                </c:pt>
                <c:pt idx="1">
                  <c:v>421</c:v>
                </c:pt>
                <c:pt idx="2">
                  <c:v>504</c:v>
                </c:pt>
              </c:numCache>
            </c:numRef>
          </c:val>
          <c:smooth val="0"/>
          <c:extLst>
            <c:ext xmlns:c16="http://schemas.microsoft.com/office/drawing/2014/chart" uri="{C3380CC4-5D6E-409C-BE32-E72D297353CC}">
              <c16:uniqueId val="{00000000-46B0-4AEA-B45B-777CDB14DDA5}"/>
            </c:ext>
          </c:extLst>
        </c:ser>
        <c:ser>
          <c:idx val="1"/>
          <c:order val="1"/>
          <c:tx>
            <c:strRef>
              <c:f>Pivot_NegErrorRt!$C$107:$C$108</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Pivot_NegErrorRt!$A$109:$A$112</c:f>
              <c:multiLvlStrCache>
                <c:ptCount val="3"/>
                <c:lvl>
                  <c:pt idx="0">
                    <c:v>January</c:v>
                  </c:pt>
                  <c:pt idx="1">
                    <c:v>February</c:v>
                  </c:pt>
                  <c:pt idx="2">
                    <c:v>March</c:v>
                  </c:pt>
                </c:lvl>
                <c:lvl>
                  <c:pt idx="0">
                    <c:v>2017</c:v>
                  </c:pt>
                </c:lvl>
              </c:multiLvlStrCache>
            </c:multiLvlStrRef>
          </c:cat>
          <c:val>
            <c:numRef>
              <c:f>Pivot_NegErrorRt!$C$109:$C$112</c:f>
              <c:numCache>
                <c:formatCode>General</c:formatCode>
                <c:ptCount val="3"/>
                <c:pt idx="0">
                  <c:v>8</c:v>
                </c:pt>
                <c:pt idx="1">
                  <c:v>11</c:v>
                </c:pt>
                <c:pt idx="2">
                  <c:v>13</c:v>
                </c:pt>
              </c:numCache>
            </c:numRef>
          </c:val>
          <c:smooth val="0"/>
          <c:extLst>
            <c:ext xmlns:c16="http://schemas.microsoft.com/office/drawing/2014/chart" uri="{C3380CC4-5D6E-409C-BE32-E72D297353CC}">
              <c16:uniqueId val="{00000001-6A49-4DE2-BC98-472ABB21EF19}"/>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'Pivot_CF&amp;MC'!$C$13:$C$18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'Pivot_CF&amp;MC'!$D$13:$D$18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'Pivot_CF&amp;MC'!$E$13:$E$18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'Pivot_CF&amp;MC'!$C$49:$C$54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'Pivot_CF&amp;MC'!$D$49:$D$54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'Pivot_CF&amp;MC'!$E$49:$E$54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(3.30.18).xlsx]Pivot_CF&amp;MC!PivotTable3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'Pivot_CF&amp;MC'!$C$92:$C$97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'Pivot_CF&amp;MC'!$D$92:$D$97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'Pivot_CF&amp;MC'!$E$92:$E$97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7F9F6336-FCA2-44B4-BAB6-B9962844144A}" srcId="{DA444084-D0F1-4C94-B2BD-416D15B72AF7}" destId="{F068B4A9-AB91-43EC-A1C8-597CEF450227}" srcOrd="0" destOrd="0" parTransId="{FFDF086B-F285-4607-9A6F-AAAE01D21BE1}" sibTransId="{F9488D59-6FD5-4BC1-992B-DD7487342E36}"/>
    <dgm:cxn modelId="{C4D2BE43-C759-466B-9DE9-34DF4DD0B43A}" srcId="{D912E7E7-3397-4805-98DC-965AE3B38536}" destId="{CFE3153C-29A0-4CE1-BABD-35CC36382FC2}" srcOrd="2" destOrd="0" parTransId="{E8019B55-B66C-4110-83E7-7D58EB511E4F}" sibTransId="{C193B800-CF74-4AA8-BAF4-E318DD4604CC}"/>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000125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3/30/18 -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123825</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10</xdr:col>
      <xdr:colOff>857250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104775</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304800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188.441840856482"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188.441841666667" missingItemsLimit="0" createdVersion="4" refreshedVersion="6"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188.441842245367"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188.441844560184" missingItemsLimit="0" createdVersion="4" refreshedVersion="6" minRefreshableVersion="3" recordCount="1298">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188.441845486108" missingItemsLimit="0" createdVersion="4" refreshedVersion="6" minRefreshableVersion="3" recordCount="4366">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3">
        <s v="January"/>
        <s v="February"/>
        <s v="March"/>
        <s v="April"/>
        <s v="May"/>
        <s v="June"/>
        <s v="July"/>
        <s v="August"/>
        <s v="September"/>
        <s v="October"/>
        <s v="November"/>
        <s v="December"/>
        <s v="February "/>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2.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298">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r>
    <x v="0"/>
    <s v="n/a"/>
    <x v="1"/>
    <x v="5"/>
    <n v="2017"/>
    <n v="2017"/>
    <m/>
    <n v="0.1336"/>
    <n v="0.23960000000000001"/>
    <n v="0.10310000000000001"/>
    <n v="0.13949999999999999"/>
  </r>
  <r>
    <x v="1"/>
    <s v="CalWIN"/>
    <x v="1"/>
    <x v="5"/>
    <n v="2017"/>
    <n v="2017"/>
    <m/>
    <n v="0.1042"/>
    <n v="0.20569999999999999"/>
    <n v="6.2199999999999998E-2"/>
    <n v="9.9499999999999991E-2"/>
  </r>
  <r>
    <x v="2"/>
    <s v="C-IV"/>
    <x v="1"/>
    <x v="5"/>
    <n v="2017"/>
    <n v="2017"/>
    <m/>
    <n v="0"/>
    <n v="0.125"/>
    <n v="0"/>
    <n v="0"/>
  </r>
  <r>
    <x v="3"/>
    <s v="C-IV"/>
    <x v="1"/>
    <x v="5"/>
    <n v="2017"/>
    <n v="2017"/>
    <m/>
    <n v="0.11359999999999999"/>
    <n v="0.22159999999999999"/>
    <n v="0.16070000000000001"/>
    <n v="0.18010000000000001"/>
  </r>
  <r>
    <x v="4"/>
    <s v="C-IV"/>
    <x v="1"/>
    <x v="5"/>
    <n v="2017"/>
    <n v="2017"/>
    <m/>
    <n v="0.1368"/>
    <n v="0.23569999999999999"/>
    <n v="0.19370000000000001"/>
    <n v="0.22510000000000002"/>
  </r>
  <r>
    <x v="5"/>
    <s v="C-IV"/>
    <x v="1"/>
    <x v="5"/>
    <n v="2017"/>
    <n v="2017"/>
    <m/>
    <n v="0.13439999999999999"/>
    <n v="0.2228"/>
    <n v="0.22109999999999999"/>
    <n v="0.25509999999999999"/>
  </r>
  <r>
    <x v="6"/>
    <s v="C-IV"/>
    <x v="1"/>
    <x v="5"/>
    <n v="2017"/>
    <n v="2017"/>
    <m/>
    <n v="9.3800000000000008E-2"/>
    <n v="0.14580000000000001"/>
    <n v="0.23440000000000003"/>
    <n v="0.26039999999999996"/>
  </r>
  <r>
    <x v="7"/>
    <s v="CalWIN"/>
    <x v="1"/>
    <x v="5"/>
    <n v="2017"/>
    <n v="2017"/>
    <m/>
    <n v="7.1300000000000002E-2"/>
    <n v="0.15890000000000001"/>
    <n v="4.7800000000000002E-2"/>
    <n v="8.3699999999999997E-2"/>
  </r>
  <r>
    <x v="8"/>
    <s v="C-IV"/>
    <x v="1"/>
    <x v="5"/>
    <n v="2017"/>
    <n v="2017"/>
    <m/>
    <n v="0.1867"/>
    <n v="0.24210000000000001"/>
    <n v="0.42330000000000001"/>
    <n v="0.44920000000000004"/>
  </r>
  <r>
    <x v="9"/>
    <s v="C-IV"/>
    <x v="1"/>
    <x v="5"/>
    <n v="2017"/>
    <n v="2017"/>
    <m/>
    <n v="0.1293"/>
    <n v="0.22850000000000001"/>
    <n v="0.21059999999999998"/>
    <n v="0.2354"/>
  </r>
  <r>
    <x v="10"/>
    <s v="CalWIN"/>
    <x v="1"/>
    <x v="5"/>
    <n v="2017"/>
    <n v="2017"/>
    <m/>
    <n v="0.14929999999999999"/>
    <n v="0.28600000000000003"/>
    <n v="0.10390000000000001"/>
    <n v="0.16350000000000001"/>
  </r>
  <r>
    <x v="11"/>
    <s v="C-IV"/>
    <x v="1"/>
    <x v="5"/>
    <n v="2017"/>
    <n v="2017"/>
    <m/>
    <n v="0.1351"/>
    <n v="0.22109999999999999"/>
    <n v="0.1351"/>
    <n v="0.1474"/>
  </r>
  <r>
    <x v="12"/>
    <s v="C-IV"/>
    <x v="1"/>
    <x v="5"/>
    <n v="2017"/>
    <n v="2017"/>
    <m/>
    <n v="0.13339999999999999"/>
    <n v="0.2329"/>
    <n v="0.22670000000000001"/>
    <n v="0.24660000000000001"/>
  </r>
  <r>
    <x v="13"/>
    <s v="C-IV"/>
    <x v="1"/>
    <x v="5"/>
    <n v="2017"/>
    <n v="2017"/>
    <m/>
    <n v="0.1825"/>
    <n v="0.29480000000000001"/>
    <n v="0.25869999999999999"/>
    <n v="0.29339999999999999"/>
  </r>
  <r>
    <x v="14"/>
    <s v="C-IV"/>
    <x v="1"/>
    <x v="5"/>
    <n v="2017"/>
    <n v="2017"/>
    <m/>
    <n v="0.13"/>
    <n v="0.23319999999999999"/>
    <n v="0.3004"/>
    <n v="0.33630000000000004"/>
  </r>
  <r>
    <x v="15"/>
    <s v="C-IV"/>
    <x v="1"/>
    <x v="5"/>
    <n v="2017"/>
    <n v="2017"/>
    <m/>
    <n v="0.18679999999999999"/>
    <n v="0.3029"/>
    <n v="0.16159999999999999"/>
    <n v="0.1898"/>
  </r>
  <r>
    <x v="16"/>
    <s v="C-IV"/>
    <x v="1"/>
    <x v="5"/>
    <n v="2017"/>
    <n v="2017"/>
    <m/>
    <n v="0.23370000000000002"/>
    <n v="0.3337"/>
    <n v="0.23760000000000001"/>
    <n v="0.2616"/>
  </r>
  <r>
    <x v="17"/>
    <s v="C-IV"/>
    <x v="1"/>
    <x v="5"/>
    <n v="2017"/>
    <n v="2017"/>
    <m/>
    <n v="7.8E-2"/>
    <n v="0.1802"/>
    <n v="0.28639999999999999"/>
    <n v="0.33229999999999998"/>
  </r>
  <r>
    <x v="18"/>
    <s v="C-IV"/>
    <x v="1"/>
    <x v="5"/>
    <n v="2017"/>
    <n v="2017"/>
    <m/>
    <n v="4.6100000000000002E-2"/>
    <n v="0.121"/>
    <n v="0.26219999999999999"/>
    <n v="0.28820000000000001"/>
  </r>
  <r>
    <x v="19"/>
    <s v="LRS"/>
    <x v="1"/>
    <x v="5"/>
    <n v="2017"/>
    <n v="2017"/>
    <m/>
    <n v="0.1293"/>
    <n v="0.22760000000000002"/>
    <n v="2.0000000000000001E-4"/>
    <n v="3.1400000000000004E-2"/>
  </r>
  <r>
    <x v="20"/>
    <s v="C-IV"/>
    <x v="1"/>
    <x v="5"/>
    <n v="2017"/>
    <n v="2017"/>
    <m/>
    <n v="0.12210000000000001"/>
    <n v="0.22739999999999999"/>
    <n v="0.1153"/>
    <n v="0.14449999999999999"/>
  </r>
  <r>
    <x v="21"/>
    <s v="C-IV"/>
    <x v="1"/>
    <x v="5"/>
    <n v="2017"/>
    <n v="2017"/>
    <m/>
    <n v="0.13419999999999999"/>
    <n v="0.23230000000000001"/>
    <n v="0.22460000000000002"/>
    <n v="0.2535"/>
  </r>
  <r>
    <x v="22"/>
    <s v="C-IV"/>
    <x v="1"/>
    <x v="5"/>
    <n v="2017"/>
    <n v="2017"/>
    <m/>
    <n v="8.0299999999999996E-2"/>
    <n v="0.14460000000000001"/>
    <n v="0.245"/>
    <n v="0.26100000000000001"/>
  </r>
  <r>
    <x v="23"/>
    <s v="C-IV"/>
    <x v="1"/>
    <x v="5"/>
    <n v="2017"/>
    <n v="2017"/>
    <m/>
    <n v="0.14630000000000001"/>
    <n v="0.24809999999999999"/>
    <n v="0.23329999999999998"/>
    <n v="0.28249999999999997"/>
  </r>
  <r>
    <x v="24"/>
    <s v="C-IV"/>
    <x v="1"/>
    <x v="5"/>
    <n v="2017"/>
    <n v="2017"/>
    <m/>
    <n v="0.15659999999999999"/>
    <n v="0.26550000000000001"/>
    <n v="0.27899999999999997"/>
    <n v="0.30640000000000001"/>
  </r>
  <r>
    <x v="25"/>
    <s v="C-IV"/>
    <x v="1"/>
    <x v="5"/>
    <n v="2017"/>
    <n v="2017"/>
    <m/>
    <n v="0.1091"/>
    <n v="0.2364"/>
    <n v="0.42729999999999996"/>
    <n v="0.48180000000000001"/>
  </r>
  <r>
    <x v="26"/>
    <s v="C-IV"/>
    <x v="1"/>
    <x v="5"/>
    <n v="2017"/>
    <n v="2017"/>
    <m/>
    <n v="8.2799999999999999E-2"/>
    <n v="0.2"/>
    <n v="9.6600000000000005E-2"/>
    <n v="0.13789999999999999"/>
  </r>
  <r>
    <x v="27"/>
    <s v="C-IV"/>
    <x v="1"/>
    <x v="5"/>
    <n v="2017"/>
    <n v="2017"/>
    <m/>
    <n v="0.14429999999999998"/>
    <n v="0.25590000000000002"/>
    <n v="0.1812"/>
    <n v="0.21160000000000001"/>
  </r>
  <r>
    <x v="28"/>
    <s v="C-IV"/>
    <x v="1"/>
    <x v="5"/>
    <n v="2017"/>
    <n v="2017"/>
    <m/>
    <n v="9.2600000000000002E-2"/>
    <n v="0.17019999999999999"/>
    <n v="0.20649999999999999"/>
    <n v="0.23899999999999999"/>
  </r>
  <r>
    <x v="29"/>
    <s v="C-IV"/>
    <x v="1"/>
    <x v="5"/>
    <n v="2017"/>
    <n v="2017"/>
    <m/>
    <n v="5.5800000000000002E-2"/>
    <n v="0.1545"/>
    <n v="0.1575"/>
    <n v="0.18739999999999998"/>
  </r>
  <r>
    <x v="30"/>
    <s v="CalWIN"/>
    <x v="1"/>
    <x v="5"/>
    <n v="2017"/>
    <n v="2017"/>
    <m/>
    <n v="0.10339999999999999"/>
    <n v="0.22359999999999999"/>
    <n v="7.6200000000000004E-2"/>
    <n v="0.1249"/>
  </r>
  <r>
    <x v="31"/>
    <s v="CalWIN"/>
    <x v="1"/>
    <x v="5"/>
    <n v="2017"/>
    <n v="2017"/>
    <m/>
    <n v="9.0200000000000002E-2"/>
    <n v="0.17649999999999999"/>
    <n v="4.8099999999999997E-2"/>
    <n v="8.0399999999999985E-2"/>
  </r>
  <r>
    <x v="32"/>
    <s v="C-IV"/>
    <x v="1"/>
    <x v="5"/>
    <n v="2017"/>
    <n v="2017"/>
    <m/>
    <n v="4.8399999999999999E-2"/>
    <n v="0.1371"/>
    <n v="0.1331"/>
    <n v="0.1532"/>
  </r>
  <r>
    <x v="33"/>
    <s v="C-IV"/>
    <x v="1"/>
    <x v="5"/>
    <n v="2017"/>
    <n v="2017"/>
    <m/>
    <n v="0.153"/>
    <n v="0.26239999999999997"/>
    <n v="0.16510000000000002"/>
    <n v="0.1953"/>
  </r>
  <r>
    <x v="34"/>
    <s v="CalWIN"/>
    <x v="1"/>
    <x v="5"/>
    <n v="2017"/>
    <n v="2017"/>
    <m/>
    <n v="0.12570000000000001"/>
    <n v="0.22820000000000001"/>
    <n v="8.0199999999999994E-2"/>
    <n v="0.1235"/>
  </r>
  <r>
    <x v="35"/>
    <s v="C-IV"/>
    <x v="1"/>
    <x v="5"/>
    <n v="2017"/>
    <n v="2017"/>
    <m/>
    <n v="0.14080000000000001"/>
    <n v="0.22039999999999998"/>
    <n v="0.21429999999999999"/>
    <n v="0.23670000000000002"/>
  </r>
  <r>
    <x v="36"/>
    <s v="C-IV"/>
    <x v="1"/>
    <x v="5"/>
    <n v="2017"/>
    <n v="2017"/>
    <m/>
    <n v="0.21239999999999998"/>
    <n v="0.32600000000000001"/>
    <n v="0.24739999999999998"/>
    <n v="0.27889999999999998"/>
  </r>
  <r>
    <x v="37"/>
    <s v="CalWIN"/>
    <x v="1"/>
    <x v="5"/>
    <n v="2017"/>
    <n v="2017"/>
    <m/>
    <n v="0.11470000000000001"/>
    <n v="0.21879999999999999"/>
    <n v="5.9400000000000001E-2"/>
    <n v="9.9299999999999999E-2"/>
  </r>
  <r>
    <x v="38"/>
    <s v="CalWIN"/>
    <x v="1"/>
    <x v="5"/>
    <n v="2017"/>
    <n v="2017"/>
    <m/>
    <n v="9.9100000000000008E-2"/>
    <n v="0.18590000000000001"/>
    <n v="7.8600000000000003E-2"/>
    <n v="0.11539999999999999"/>
  </r>
  <r>
    <x v="39"/>
    <s v="C-IV"/>
    <x v="1"/>
    <x v="5"/>
    <n v="2017"/>
    <n v="2017"/>
    <m/>
    <n v="0.16399999999999998"/>
    <n v="0.26190000000000002"/>
    <n v="0.24359999999999998"/>
    <n v="0.27539999999999998"/>
  </r>
  <r>
    <x v="40"/>
    <s v="CalWIN"/>
    <x v="1"/>
    <x v="5"/>
    <n v="2017"/>
    <n v="2017"/>
    <m/>
    <n v="7.6600000000000001E-2"/>
    <n v="0.16600000000000001"/>
    <n v="5.5300000000000002E-2"/>
    <n v="9.0200000000000002E-2"/>
  </r>
  <r>
    <x v="41"/>
    <s v="CalWIN"/>
    <x v="1"/>
    <x v="5"/>
    <n v="2017"/>
    <n v="2017"/>
    <m/>
    <n v="9.1300000000000006E-2"/>
    <n v="0.20039999999999999"/>
    <n v="6.3899999999999998E-2"/>
    <n v="0.1012"/>
  </r>
  <r>
    <x v="42"/>
    <s v="CalWIN"/>
    <x v="1"/>
    <x v="5"/>
    <n v="2017"/>
    <n v="2017"/>
    <m/>
    <n v="8.3100000000000007E-2"/>
    <n v="0.17710000000000001"/>
    <n v="5.9400000000000001E-2"/>
    <n v="0.10249999999999999"/>
  </r>
  <r>
    <x v="43"/>
    <s v="CalWIN"/>
    <x v="1"/>
    <x v="5"/>
    <n v="2017"/>
    <n v="2017"/>
    <m/>
    <n v="2.35E-2"/>
    <n v="0.12740000000000001"/>
    <n v="1.0500000000000001E-2"/>
    <n v="4.53E-2"/>
  </r>
  <r>
    <x v="44"/>
    <s v="CalWIN"/>
    <x v="1"/>
    <x v="5"/>
    <n v="2017"/>
    <n v="2017"/>
    <m/>
    <n v="1.7100000000000001E-2"/>
    <n v="0.1182"/>
    <n v="4.3E-3"/>
    <n v="3.5400000000000001E-2"/>
  </r>
  <r>
    <x v="45"/>
    <s v="C-IV"/>
    <x v="1"/>
    <x v="5"/>
    <n v="2017"/>
    <n v="2017"/>
    <m/>
    <n v="0.15509999999999999"/>
    <n v="0.2646"/>
    <n v="0.29139999999999999"/>
    <n v="0.32549999999999996"/>
  </r>
  <r>
    <x v="46"/>
    <s v="C-IV"/>
    <x v="1"/>
    <x v="5"/>
    <n v="2017"/>
    <n v="2017"/>
    <m/>
    <n v="3.85E-2"/>
    <n v="0.11539999999999999"/>
    <n v="0.15380000000000002"/>
    <n v="0.15380000000000002"/>
  </r>
  <r>
    <x v="47"/>
    <s v="C-IV"/>
    <x v="1"/>
    <x v="5"/>
    <n v="2017"/>
    <n v="2017"/>
    <m/>
    <n v="0.1444"/>
    <n v="0.22889999999999999"/>
    <n v="0.26979999999999998"/>
    <n v="0.29699999999999999"/>
  </r>
  <r>
    <x v="48"/>
    <s v="CalWIN"/>
    <x v="1"/>
    <x v="5"/>
    <n v="2017"/>
    <n v="2017"/>
    <m/>
    <n v="1.4199999999999999E-2"/>
    <n v="0.12039999999999999"/>
    <n v="6.8000000000000005E-3"/>
    <n v="5.0599999999999999E-2"/>
  </r>
  <r>
    <x v="49"/>
    <s v="CalWIN"/>
    <x v="1"/>
    <x v="5"/>
    <n v="2017"/>
    <n v="2017"/>
    <m/>
    <n v="9.4899999999999998E-2"/>
    <n v="0.19719999999999999"/>
    <n v="6.2199999999999998E-2"/>
    <n v="0.10339999999999999"/>
  </r>
  <r>
    <x v="50"/>
    <s v="C-IV"/>
    <x v="1"/>
    <x v="5"/>
    <n v="2017"/>
    <n v="2017"/>
    <m/>
    <n v="0.153"/>
    <n v="0.2601"/>
    <n v="0.18530000000000002"/>
    <n v="0.22059999999999999"/>
  </r>
  <r>
    <x v="51"/>
    <s v="C-IV"/>
    <x v="1"/>
    <x v="5"/>
    <n v="2017"/>
    <n v="2017"/>
    <m/>
    <n v="0.1704"/>
    <n v="0.26350000000000001"/>
    <n v="0.23949999999999999"/>
    <n v="0.26129999999999998"/>
  </r>
  <r>
    <x v="52"/>
    <s v="C-IV"/>
    <x v="1"/>
    <x v="5"/>
    <n v="2017"/>
    <n v="2017"/>
    <m/>
    <n v="0.12539999999999998"/>
    <n v="0.22789999999999999"/>
    <n v="0.26679999999999998"/>
    <n v="0.2853"/>
  </r>
  <r>
    <x v="53"/>
    <s v="C-IV"/>
    <x v="1"/>
    <x v="5"/>
    <n v="2017"/>
    <n v="2017"/>
    <m/>
    <n v="0.13689999999999999"/>
    <n v="0.22409999999999999"/>
    <n v="0.20749999999999999"/>
    <n v="0.22820000000000001"/>
  </r>
  <r>
    <x v="54"/>
    <s v="CalWIN"/>
    <x v="1"/>
    <x v="5"/>
    <n v="2017"/>
    <n v="2017"/>
    <m/>
    <n v="0.17660000000000001"/>
    <n v="0.30769999999999997"/>
    <n v="0.15629999999999999"/>
    <n v="0.21579999999999999"/>
  </r>
  <r>
    <x v="55"/>
    <s v="C-IV"/>
    <x v="1"/>
    <x v="5"/>
    <n v="2017"/>
    <n v="2017"/>
    <m/>
    <n v="9.0999999999999998E-2"/>
    <n v="0.20379999999999998"/>
    <n v="0.1012"/>
    <n v="0.12570000000000001"/>
  </r>
  <r>
    <x v="56"/>
    <s v="CalWIN"/>
    <x v="1"/>
    <x v="5"/>
    <n v="2017"/>
    <n v="2017"/>
    <m/>
    <n v="0.13220000000000001"/>
    <n v="0.25650000000000001"/>
    <n v="9.9700000000000011E-2"/>
    <n v="0.1525"/>
  </r>
  <r>
    <x v="57"/>
    <s v="CalWIN"/>
    <x v="1"/>
    <x v="5"/>
    <n v="2017"/>
    <n v="2017"/>
    <m/>
    <n v="9.3200000000000005E-2"/>
    <n v="0.19969999999999999"/>
    <n v="7.4800000000000005E-2"/>
    <n v="0.1195"/>
  </r>
  <r>
    <x v="58"/>
    <s v="C-IV"/>
    <x v="1"/>
    <x v="5"/>
    <n v="2017"/>
    <n v="2017"/>
    <m/>
    <n v="0.1804"/>
    <n v="0.25329999999999997"/>
    <n v="0.31359999999999999"/>
    <n v="0.34119999999999995"/>
  </r>
</pivotCacheRecords>
</file>

<file path=xl/pivotCache/pivotCacheRecords5.xml><?xml version="1.0" encoding="utf-8"?>
<pivotCacheRecords xmlns="http://schemas.openxmlformats.org/spreadsheetml/2006/main" xmlns:r="http://schemas.openxmlformats.org/officeDocument/2006/relationships" count="4366">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s v="n/a"/>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s v="n/a"/>
    <s v="n/a"/>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n v="6.8599999999999994E-2"/>
  </r>
  <r>
    <x v="1"/>
    <s v="CalWIN"/>
    <x v="4"/>
    <x v="5"/>
    <x v="5"/>
    <s v="2016/17"/>
    <n v="57144"/>
    <n v="107958"/>
    <n v="434314"/>
    <s v="n/a"/>
    <s v="n/a"/>
    <n v="17"/>
    <n v="0.47099999999999997"/>
    <n v="3.8199999999999998E-2"/>
  </r>
  <r>
    <x v="2"/>
    <s v="C-IV"/>
    <x v="4"/>
    <x v="5"/>
    <x v="5"/>
    <s v="2016/17"/>
    <n v="79"/>
    <n v="143"/>
    <n v="329"/>
    <n v="1"/>
    <n v="1"/>
    <n v="62"/>
    <n v="0.32300000000000001"/>
    <n v="8.0199999999999994E-2"/>
  </r>
  <r>
    <x v="3"/>
    <s v="C-IV"/>
    <x v="4"/>
    <x v="5"/>
    <x v="5"/>
    <s v="2016/17"/>
    <n v="1667"/>
    <n v="3047"/>
    <n v="8228"/>
    <n v="0.97530864197530864"/>
    <n v="0.96226415094339623"/>
    <n v="62"/>
    <n v="0.32300000000000001"/>
    <n v="8.0199999999999994E-2"/>
  </r>
  <r>
    <x v="4"/>
    <s v="C-IV"/>
    <x v="4"/>
    <x v="5"/>
    <x v="5"/>
    <s v="2016/17"/>
    <n v="16759"/>
    <n v="31054"/>
    <n v="83040"/>
    <n v="0.92258883248730961"/>
    <n v="0.95429616087751368"/>
    <n v="62"/>
    <n v="0.32300000000000001"/>
    <n v="8.0199999999999994E-2"/>
  </r>
  <r>
    <x v="5"/>
    <s v="C-IV"/>
    <x v="4"/>
    <x v="5"/>
    <x v="5"/>
    <s v="2016/17"/>
    <n v="2791"/>
    <n v="5034"/>
    <n v="12135"/>
    <n v="0.99248120300751874"/>
    <n v="0.93103448275862066"/>
    <n v="62"/>
    <n v="0.32300000000000001"/>
    <n v="8.0199999999999994E-2"/>
  </r>
  <r>
    <x v="6"/>
    <s v="C-IV"/>
    <x v="4"/>
    <x v="5"/>
    <x v="5"/>
    <s v="2016/17"/>
    <n v="707"/>
    <n v="1627"/>
    <n v="9131"/>
    <n v="0.93939393939393945"/>
    <n v="0.96"/>
    <n v="62"/>
    <n v="0.32300000000000001"/>
    <n v="8.0199999999999994E-2"/>
  </r>
  <r>
    <x v="7"/>
    <s v="CalWIN"/>
    <x v="4"/>
    <x v="5"/>
    <x v="5"/>
    <s v="2016/17"/>
    <n v="31358"/>
    <n v="62579"/>
    <n v="273705"/>
    <n v="0.96484736355226641"/>
    <n v="0.99005964214711728"/>
    <n v="12"/>
    <n v="0.33300000000000002"/>
    <n v="5.2699999999999997E-2"/>
  </r>
  <r>
    <x v="8"/>
    <s v="C-IV"/>
    <x v="4"/>
    <x v="5"/>
    <x v="5"/>
    <s v="2016/17"/>
    <n v="2566"/>
    <n v="5291"/>
    <n v="11981"/>
    <n v="0.9887640449438202"/>
    <n v="0.94915254237288138"/>
    <n v="62"/>
    <n v="0.32300000000000001"/>
    <n v="8.0199999999999994E-2"/>
  </r>
  <r>
    <x v="9"/>
    <s v="C-IV"/>
    <x v="4"/>
    <x v="5"/>
    <x v="5"/>
    <s v="2016/17"/>
    <n v="6874"/>
    <n v="12212"/>
    <n v="38964"/>
    <n v="1"/>
    <n v="0.99307958477508651"/>
    <n v="62"/>
    <n v="0.32300000000000001"/>
    <n v="8.0199999999999994E-2"/>
  </r>
  <r>
    <x v="10"/>
    <s v="CalWIN"/>
    <x v="4"/>
    <x v="5"/>
    <x v="5"/>
    <s v="2016/17"/>
    <n v="88937"/>
    <n v="206365"/>
    <n v="494200"/>
    <n v="0.96432356057930058"/>
    <n v="0.96967654986522911"/>
    <n v="31"/>
    <n v="0.41899999999999998"/>
    <n v="3.61E-2"/>
  </r>
  <r>
    <x v="11"/>
    <s v="C-IV"/>
    <x v="4"/>
    <x v="5"/>
    <x v="5"/>
    <s v="2016/17"/>
    <n v="1494"/>
    <n v="3421"/>
    <n v="12388"/>
    <n v="0.9821428571428571"/>
    <n v="1"/>
    <n v="62"/>
    <n v="0.32300000000000001"/>
    <n v="8.0199999999999994E-2"/>
  </r>
  <r>
    <x v="12"/>
    <s v="C-IV"/>
    <x v="4"/>
    <x v="5"/>
    <x v="5"/>
    <s v="2016/17"/>
    <n v="12181"/>
    <n v="20534"/>
    <n v="55772"/>
    <n v="0.99313893653516294"/>
    <n v="0.96976744186046515"/>
    <n v="62"/>
    <n v="0.32300000000000001"/>
    <n v="8.0199999999999994E-2"/>
  </r>
  <r>
    <x v="13"/>
    <s v="C-IV"/>
    <x v="4"/>
    <x v="5"/>
    <x v="5"/>
    <s v="2016/17"/>
    <n v="17079"/>
    <n v="41403"/>
    <n v="95028"/>
    <n v="0.97071129707112969"/>
    <n v="0.94750000000000001"/>
    <n v="62"/>
    <n v="0.32300000000000001"/>
    <n v="8.0199999999999994E-2"/>
  </r>
  <r>
    <x v="14"/>
    <s v="C-IV"/>
    <x v="4"/>
    <x v="5"/>
    <x v="5"/>
    <s v="2016/17"/>
    <n v="1042"/>
    <n v="1984"/>
    <n v="5593"/>
    <n v="1"/>
    <n v="0.87804878048780488"/>
    <n v="62"/>
    <n v="0.32300000000000001"/>
    <n v="8.0199999999999994E-2"/>
  </r>
  <r>
    <x v="15"/>
    <s v="C-IV"/>
    <x v="4"/>
    <x v="5"/>
    <x v="5"/>
    <s v="2016/17"/>
    <n v="68976"/>
    <n v="160000"/>
    <n v="416774"/>
    <n v="0.99230769230769234"/>
    <n v="0.92515230635335077"/>
    <n v="17"/>
    <n v="0.23499999999999999"/>
    <n v="1.9599999999999999E-2"/>
  </r>
  <r>
    <x v="16"/>
    <s v="C-IV"/>
    <x v="4"/>
    <x v="5"/>
    <x v="5"/>
    <s v="2016/17"/>
    <n v="10578"/>
    <n v="24005"/>
    <n v="57664"/>
    <n v="0.99609375"/>
    <n v="0.9576271186440678"/>
    <n v="62"/>
    <n v="0.32300000000000001"/>
    <n v="8.0199999999999994E-2"/>
  </r>
  <r>
    <x v="17"/>
    <s v="C-IV"/>
    <x v="4"/>
    <x v="5"/>
    <x v="5"/>
    <s v="2016/17"/>
    <n v="6430"/>
    <n v="11944"/>
    <n v="32616"/>
    <n v="0.94612794612794615"/>
    <n v="0.96875"/>
    <n v="62"/>
    <n v="0.32300000000000001"/>
    <n v="8.0199999999999994E-2"/>
  </r>
  <r>
    <x v="18"/>
    <s v="C-IV"/>
    <x v="4"/>
    <x v="5"/>
    <x v="5"/>
    <s v="2016/17"/>
    <n v="1579"/>
    <n v="3127"/>
    <n v="8064"/>
    <n v="0.93506493506493504"/>
    <n v="0.80434782608695654"/>
    <n v="62"/>
    <n v="0.32300000000000001"/>
    <n v="8.0199999999999994E-2"/>
  </r>
  <r>
    <x v="19"/>
    <s v="LRS"/>
    <x v="4"/>
    <x v="5"/>
    <x v="5"/>
    <s v="2016/17"/>
    <n v="531634"/>
    <n v="1067719"/>
    <n v="3986966"/>
    <n v="0.99041297935103245"/>
    <n v="0.91714614499424629"/>
    <n v="244"/>
    <n v="0.45500000000000002"/>
    <n v="0.1206"/>
  </r>
  <r>
    <x v="20"/>
    <s v="C-IV"/>
    <x v="4"/>
    <x v="5"/>
    <x v="5"/>
    <s v="2016/17"/>
    <n v="11645"/>
    <n v="28249"/>
    <n v="70507"/>
    <n v="0.9926108374384236"/>
    <n v="0.94841269841269837"/>
    <n v="62"/>
    <n v="0.32300000000000001"/>
    <n v="8.0199999999999994E-2"/>
  </r>
  <r>
    <x v="21"/>
    <s v="C-IV"/>
    <x v="4"/>
    <x v="5"/>
    <x v="5"/>
    <s v="2016/17"/>
    <n v="5980"/>
    <n v="9845"/>
    <n v="47492"/>
    <n v="0.98153846153846158"/>
    <n v="0.91928251121076232"/>
    <n v="62"/>
    <n v="0.32300000000000001"/>
    <n v="8.0199999999999994E-2"/>
  </r>
  <r>
    <x v="22"/>
    <s v="C-IV"/>
    <x v="4"/>
    <x v="5"/>
    <x v="5"/>
    <s v="2016/17"/>
    <n v="1006"/>
    <n v="1795"/>
    <n v="4791"/>
    <n v="0.87804878048780488"/>
    <n v="0.53846153846153844"/>
    <n v="62"/>
    <n v="0.32300000000000001"/>
    <n v="8.0199999999999994E-2"/>
  </r>
  <r>
    <x v="23"/>
    <s v="C-IV"/>
    <x v="4"/>
    <x v="5"/>
    <x v="5"/>
    <s v="2016/17"/>
    <n v="6264"/>
    <n v="11807"/>
    <n v="41381"/>
    <n v="0.93872549019607843"/>
    <n v="0.93014705882352944"/>
    <n v="62"/>
    <n v="0.32300000000000001"/>
    <n v="8.0199999999999994E-2"/>
  </r>
  <r>
    <x v="24"/>
    <s v="C-IV"/>
    <x v="4"/>
    <x v="5"/>
    <x v="5"/>
    <s v="2016/17"/>
    <n v="23752"/>
    <n v="55013"/>
    <n v="140375"/>
    <n v="0.99322033898305084"/>
    <n v="0.96528925619834716"/>
    <n v="5"/>
    <n v="0"/>
    <n v="1.9400000000000001E-2"/>
  </r>
  <r>
    <x v="25"/>
    <s v="C-IV"/>
    <x v="4"/>
    <x v="5"/>
    <x v="5"/>
    <s v="2016/17"/>
    <n v="547"/>
    <n v="1156"/>
    <n v="3200"/>
    <n v="0.96153846153846156"/>
    <n v="0.89473684210526316"/>
    <n v="62"/>
    <n v="0.32300000000000001"/>
    <n v="8.0199999999999994E-2"/>
  </r>
  <r>
    <x v="26"/>
    <s v="C-IV"/>
    <x v="4"/>
    <x v="5"/>
    <x v="5"/>
    <s v="2016/17"/>
    <n v="400"/>
    <n v="676"/>
    <n v="3762"/>
    <n v="1"/>
    <n v="0.92592592592592593"/>
    <n v="62"/>
    <n v="0.32300000000000001"/>
    <n v="8.0199999999999994E-2"/>
  </r>
  <r>
    <x v="27"/>
    <s v="C-IV"/>
    <x v="4"/>
    <x v="5"/>
    <x v="5"/>
    <s v="2016/17"/>
    <n v="22224"/>
    <n v="49320"/>
    <n v="187277"/>
    <n v="0.9965397923875432"/>
    <n v="0.97222222222222221"/>
    <n v="5"/>
    <n v="0.2"/>
    <n v="2.3699999999999999E-2"/>
  </r>
  <r>
    <x v="28"/>
    <s v="C-IV"/>
    <x v="4"/>
    <x v="5"/>
    <x v="5"/>
    <s v="2016/17"/>
    <n v="3274"/>
    <n v="6535"/>
    <n v="32647"/>
    <n v="0.94174757281553401"/>
    <n v="0.93939393939393945"/>
    <n v="62"/>
    <n v="0.32300000000000001"/>
    <n v="8.0199999999999994E-2"/>
  </r>
  <r>
    <x v="29"/>
    <s v="C-IV"/>
    <x v="4"/>
    <x v="5"/>
    <x v="5"/>
    <s v="2016/17"/>
    <n v="4157"/>
    <n v="7198"/>
    <n v="25055"/>
    <n v="0.892018779342723"/>
    <n v="0.82692307692307687"/>
    <n v="62"/>
    <n v="0.32300000000000001"/>
    <n v="8.0199999999999994E-2"/>
  </r>
  <r>
    <x v="30"/>
    <s v="CalWIN"/>
    <x v="4"/>
    <x v="5"/>
    <x v="5"/>
    <s v="2016/17"/>
    <n v="116316"/>
    <n v="235714"/>
    <n v="897865"/>
    <n v="0.99555367351259794"/>
    <n v="0.99041095890410957"/>
    <n v="36"/>
    <n v="0.36099999999999999"/>
    <n v="6.8000000000000005E-2"/>
  </r>
  <r>
    <x v="31"/>
    <s v="CalWIN"/>
    <x v="4"/>
    <x v="5"/>
    <x v="5"/>
    <s v="2016/17"/>
    <n v="8719"/>
    <n v="16171"/>
    <n v="62968"/>
    <n v="1"/>
    <n v="0.9128205128205128"/>
    <n v="62"/>
    <n v="0.32300000000000001"/>
    <n v="8.0199999999999994E-2"/>
  </r>
  <r>
    <x v="32"/>
    <s v="C-IV"/>
    <x v="4"/>
    <x v="5"/>
    <x v="5"/>
    <s v="2016/17"/>
    <n v="1168"/>
    <n v="2184"/>
    <n v="6445"/>
    <n v="0.95918367346938771"/>
    <n v="0.87096774193548387"/>
    <n v="62"/>
    <n v="0.32300000000000001"/>
    <n v="8.0199999999999994E-2"/>
  </r>
  <r>
    <x v="33"/>
    <s v="C-IV"/>
    <x v="4"/>
    <x v="5"/>
    <x v="5"/>
    <s v="2016/17"/>
    <n v="122242"/>
    <n v="269902"/>
    <n v="839840"/>
    <n v="0.99690755208333337"/>
    <n v="0.94512750455373407"/>
    <n v="31"/>
    <n v="0.32300000000000001"/>
    <n v="5.5399999999999998E-2"/>
  </r>
  <r>
    <x v="34"/>
    <s v="CalWIN"/>
    <x v="4"/>
    <x v="5"/>
    <x v="5"/>
    <s v="2016/17"/>
    <n v="98777"/>
    <n v="206532"/>
    <n v="557931"/>
    <n v="0.99350649350649356"/>
    <n v="0.99231163505894415"/>
    <n v="32"/>
    <n v="0.46899999999999997"/>
    <n v="5.2499999999999998E-2"/>
  </r>
  <r>
    <x v="35"/>
    <s v="C-IV"/>
    <x v="4"/>
    <x v="5"/>
    <x v="5"/>
    <s v="2016/17"/>
    <n v="2289"/>
    <n v="5113"/>
    <n v="18959"/>
    <n v="0.98863636363636365"/>
    <n v="0.95"/>
    <n v="62"/>
    <n v="0.32300000000000001"/>
    <n v="8.0199999999999994E-2"/>
  </r>
  <r>
    <x v="36"/>
    <s v="C-IV"/>
    <x v="4"/>
    <x v="5"/>
    <x v="5"/>
    <s v="2016/17"/>
    <n v="166644"/>
    <n v="363035"/>
    <n v="887197"/>
    <n v="0.99560896695169865"/>
    <n v="0.95157752657330863"/>
    <n v="40"/>
    <n v="0.27500000000000002"/>
    <n v="3.3300000000000003E-2"/>
  </r>
  <r>
    <x v="37"/>
    <s v="CalWIN"/>
    <x v="4"/>
    <x v="5"/>
    <x v="5"/>
    <s v="2016/17"/>
    <n v="133562"/>
    <n v="268428"/>
    <n v="896503"/>
    <n v="0.98067954696868753"/>
    <n v="0.97086031452358923"/>
    <n v="51"/>
    <n v="0.43099999999999999"/>
    <n v="2.18E-2"/>
  </r>
  <r>
    <x v="38"/>
    <s v="CalWIN"/>
    <x v="4"/>
    <x v="5"/>
    <x v="5"/>
    <s v="2016/17"/>
    <n v="34069"/>
    <n v="50907"/>
    <n v="222739"/>
    <n v="0.990112063282795"/>
    <n v="0.93315858453473133"/>
    <n v="9"/>
    <n v="0.33300000000000002"/>
    <n v="7.5700000000000003E-2"/>
  </r>
  <r>
    <x v="39"/>
    <s v="C-IV"/>
    <x v="4"/>
    <x v="5"/>
    <x v="5"/>
    <s v="2016/17"/>
    <n v="48782"/>
    <n v="108347"/>
    <n v="298633"/>
    <n v="0.98408751864743904"/>
    <n v="0.92636579572446553"/>
    <n v="11"/>
    <n v="9.0999999999999998E-2"/>
    <n v="4.1300000000000003E-2"/>
  </r>
  <r>
    <x v="40"/>
    <s v="CalWIN"/>
    <x v="4"/>
    <x v="5"/>
    <x v="5"/>
    <s v="2016/17"/>
    <n v="9671"/>
    <n v="17216"/>
    <n v="60972"/>
    <n v="0.97674418604651159"/>
    <n v="0.97265625"/>
    <n v="62"/>
    <n v="0.32300000000000001"/>
    <n v="8.0199999999999994E-2"/>
  </r>
  <r>
    <x v="41"/>
    <s v="CalWIN"/>
    <x v="4"/>
    <x v="5"/>
    <x v="5"/>
    <s v="2016/17"/>
    <n v="13714"/>
    <n v="26382"/>
    <n v="152055"/>
    <n v="0.97523809523809524"/>
    <n v="0.87687687687687688"/>
    <n v="62"/>
    <n v="0.32300000000000001"/>
    <n v="8.0199999999999994E-2"/>
  </r>
  <r>
    <x v="42"/>
    <s v="CalWIN"/>
    <x v="4"/>
    <x v="5"/>
    <x v="5"/>
    <s v="2016/17"/>
    <n v="18905"/>
    <n v="38800"/>
    <n v="148091"/>
    <n v="0.97524752475247523"/>
    <n v="0.94533762057877813"/>
    <n v="62"/>
    <n v="0.32300000000000001"/>
    <n v="8.0199999999999994E-2"/>
  </r>
  <r>
    <x v="43"/>
    <s v="CalWIN"/>
    <x v="4"/>
    <x v="5"/>
    <x v="5"/>
    <s v="2016/17"/>
    <n v="47569"/>
    <n v="92733"/>
    <n v="433411"/>
    <n v="0.99266951740989617"/>
    <n v="0.98381294964028776"/>
    <n v="14"/>
    <n v="0.35699999999999998"/>
    <n v="3.9399999999999998E-2"/>
  </r>
  <r>
    <x v="44"/>
    <s v="CalWIN"/>
    <x v="4"/>
    <x v="5"/>
    <x v="5"/>
    <s v="2016/17"/>
    <n v="14839"/>
    <n v="26721"/>
    <n v="78922"/>
    <n v="0.97709923664122134"/>
    <n v="0.98268398268398272"/>
    <n v="62"/>
    <n v="0.32300000000000001"/>
    <n v="8.0199999999999994E-2"/>
  </r>
  <r>
    <x v="45"/>
    <s v="C-IV"/>
    <x v="4"/>
    <x v="5"/>
    <x v="5"/>
    <s v="2016/17"/>
    <n v="12419"/>
    <n v="23195"/>
    <n v="63674"/>
    <n v="0.94415357766143104"/>
    <n v="0.98039215686274506"/>
    <n v="62"/>
    <n v="0.32300000000000001"/>
    <n v="8.0199999999999994E-2"/>
  </r>
  <r>
    <x v="46"/>
    <s v="C-IV"/>
    <x v="4"/>
    <x v="5"/>
    <x v="5"/>
    <s v="2016/17"/>
    <n v="162"/>
    <n v="266"/>
    <n v="827"/>
    <n v="1"/>
    <n v="1"/>
    <n v="62"/>
    <n v="0.32300000000000001"/>
    <n v="8.0199999999999994E-2"/>
  </r>
  <r>
    <x v="47"/>
    <s v="C-IV"/>
    <x v="4"/>
    <x v="5"/>
    <x v="5"/>
    <s v="2016/17"/>
    <n v="3116"/>
    <n v="6490"/>
    <n v="19070"/>
    <n v="0.99270072992700731"/>
    <n v="0.88775510204081631"/>
    <n v="62"/>
    <n v="0.32300000000000001"/>
    <n v="8.0199999999999994E-2"/>
  </r>
  <r>
    <x v="48"/>
    <s v="CalWIN"/>
    <x v="4"/>
    <x v="5"/>
    <x v="5"/>
    <s v="2016/17"/>
    <n v="21136"/>
    <n v="39676"/>
    <n v="122467"/>
    <n v="0.96511627906976749"/>
    <n v="0.95890410958904104"/>
    <n v="8"/>
    <n v="0.5"/>
    <n v="5.7000000000000002E-3"/>
  </r>
  <r>
    <x v="49"/>
    <s v="CalWIN"/>
    <x v="4"/>
    <x v="5"/>
    <x v="5"/>
    <s v="2016/17"/>
    <n v="17348"/>
    <n v="30594"/>
    <n v="129065"/>
    <n v="0.9795454545454545"/>
    <n v="0.88508557457212711"/>
    <n v="62"/>
    <n v="0.32300000000000001"/>
    <n v="8.0199999999999994E-2"/>
  </r>
  <r>
    <x v="50"/>
    <s v="C-IV"/>
    <x v="4"/>
    <x v="5"/>
    <x v="5"/>
    <s v="2016/17"/>
    <n v="39732"/>
    <n v="83137"/>
    <n v="249878"/>
    <n v="0.98712446351931327"/>
    <n v="0.94251901944209637"/>
    <n v="9"/>
    <n v="0.55600000000000005"/>
    <n v="4.87E-2"/>
  </r>
  <r>
    <x v="51"/>
    <s v="C-IV"/>
    <x v="4"/>
    <x v="5"/>
    <x v="5"/>
    <s v="2016/17"/>
    <n v="5609"/>
    <n v="12819"/>
    <n v="43023"/>
    <n v="0.98469387755102045"/>
    <n v="0.96575342465753422"/>
    <n v="62"/>
    <n v="0.32300000000000001"/>
    <n v="8.0199999999999994E-2"/>
  </r>
  <r>
    <x v="52"/>
    <s v="C-IV"/>
    <x v="4"/>
    <x v="5"/>
    <x v="5"/>
    <s v="2016/17"/>
    <n v="4341"/>
    <n v="9396"/>
    <n v="27326"/>
    <n v="0.94623655913978499"/>
    <n v="0.93706293706293708"/>
    <n v="62"/>
    <n v="0.32300000000000001"/>
    <n v="8.0199999999999994E-2"/>
  </r>
  <r>
    <x v="53"/>
    <s v="C-IV"/>
    <x v="4"/>
    <x v="5"/>
    <x v="5"/>
    <s v="2016/17"/>
    <n v="968"/>
    <n v="1716"/>
    <n v="4935"/>
    <n v="0.98113207547169812"/>
    <n v="0.75"/>
    <n v="62"/>
    <n v="0.32300000000000001"/>
    <n v="8.0199999999999994E-2"/>
  </r>
  <r>
    <x v="54"/>
    <s v="CalWIN"/>
    <x v="4"/>
    <x v="5"/>
    <x v="5"/>
    <s v="2016/17"/>
    <n v="51369"/>
    <n v="119304"/>
    <n v="257385"/>
    <n v="0.99053129931614936"/>
    <n v="0.92339261285909713"/>
    <n v="13"/>
    <n v="0.38500000000000001"/>
    <n v="4.5699999999999998E-2"/>
  </r>
  <r>
    <x v="55"/>
    <s v="C-IV"/>
    <x v="4"/>
    <x v="5"/>
    <x v="5"/>
    <s v="2016/17"/>
    <n v="2921"/>
    <n v="5122"/>
    <n v="14217"/>
    <n v="0.99342105263157898"/>
    <n v="0.91346153846153844"/>
    <n v="62"/>
    <n v="0.32300000000000001"/>
    <n v="8.0199999999999994E-2"/>
  </r>
  <r>
    <x v="56"/>
    <s v="CalWIN"/>
    <x v="4"/>
    <x v="5"/>
    <x v="5"/>
    <s v="2016/17"/>
    <n v="35666"/>
    <n v="70912"/>
    <n v="235529"/>
    <n v="0.99330855018587361"/>
    <n v="0.95959595959595956"/>
    <n v="12"/>
    <n v="0.16700000000000001"/>
    <n v="6.5799999999999997E-2"/>
  </r>
  <r>
    <x v="57"/>
    <s v="CalWIN"/>
    <x v="4"/>
    <x v="5"/>
    <x v="5"/>
    <s v="2016/17"/>
    <n v="10091"/>
    <n v="19311"/>
    <n v="59378"/>
    <n v="0.90238095238095239"/>
    <n v="0.97244094488188981"/>
    <n v="62"/>
    <n v="0.32300000000000001"/>
    <n v="8.0199999999999994E-2"/>
  </r>
  <r>
    <x v="58"/>
    <s v="C-IV"/>
    <x v="4"/>
    <x v="5"/>
    <x v="5"/>
    <s v="2016/17"/>
    <n v="5951"/>
    <n v="12941"/>
    <n v="32720"/>
    <n v="0.9965397923875432"/>
    <n v="0.95391705069124422"/>
    <n v="62"/>
    <n v="0.32300000000000001"/>
    <n v="8.0199999999999994E-2"/>
  </r>
  <r>
    <x v="0"/>
    <s v="n/a"/>
    <x v="5"/>
    <x v="5"/>
    <x v="5"/>
    <s v="2016/17"/>
    <n v="1983127"/>
    <n v="4093488"/>
    <n v="13374019"/>
    <n v="0.98706954158684901"/>
    <n v="0.94277797407620922"/>
    <n v="696"/>
    <n v="0.39500000000000002"/>
    <n v="6.4600000000000005E-2"/>
  </r>
  <r>
    <x v="1"/>
    <s v="CalWIN"/>
    <x v="5"/>
    <x v="5"/>
    <x v="5"/>
    <s v="2016/17"/>
    <n v="57141"/>
    <n v="108000"/>
    <n v="433661"/>
    <s v="n/a"/>
    <s v="n/a"/>
    <n v="18"/>
    <n v="0.44400000000000001"/>
    <n v="3.3500000000000002E-2"/>
  </r>
  <r>
    <x v="2"/>
    <s v="C-IV"/>
    <x v="5"/>
    <x v="5"/>
    <x v="5"/>
    <s v="2016/17"/>
    <n v="79"/>
    <n v="139"/>
    <n v="324"/>
    <n v="1"/>
    <n v="1"/>
    <n v="66"/>
    <n v="0.318"/>
    <n v="6.4600000000000005E-2"/>
  </r>
  <r>
    <x v="3"/>
    <s v="C-IV"/>
    <x v="5"/>
    <x v="5"/>
    <x v="5"/>
    <s v="2016/17"/>
    <n v="1653"/>
    <n v="3006"/>
    <n v="8205"/>
    <n v="0.93506493506493504"/>
    <n v="0.9642857142857143"/>
    <n v="66"/>
    <n v="0.318"/>
    <n v="6.4600000000000005E-2"/>
  </r>
  <r>
    <x v="4"/>
    <s v="C-IV"/>
    <x v="5"/>
    <x v="5"/>
    <x v="5"/>
    <s v="2016/17"/>
    <n v="16843"/>
    <n v="31147"/>
    <n v="82928"/>
    <n v="0.94086021505376349"/>
    <n v="0.96851851851851856"/>
    <n v="66"/>
    <n v="0.318"/>
    <n v="6.4600000000000005E-2"/>
  </r>
  <r>
    <x v="5"/>
    <s v="C-IV"/>
    <x v="5"/>
    <x v="5"/>
    <x v="5"/>
    <s v="2016/17"/>
    <n v="2807"/>
    <n v="5046"/>
    <n v="12128"/>
    <n v="1"/>
    <n v="0.93269230769230771"/>
    <n v="66"/>
    <n v="0.318"/>
    <n v="6.4600000000000005E-2"/>
  </r>
  <r>
    <x v="6"/>
    <s v="C-IV"/>
    <x v="5"/>
    <x v="5"/>
    <x v="5"/>
    <s v="2016/17"/>
    <n v="701"/>
    <n v="1586"/>
    <n v="9084"/>
    <n v="0.95833333333333337"/>
    <n v="0.93333333333333335"/>
    <n v="66"/>
    <n v="0.318"/>
    <n v="6.4600000000000005E-2"/>
  </r>
  <r>
    <x v="7"/>
    <s v="CalWIN"/>
    <x v="5"/>
    <x v="5"/>
    <x v="5"/>
    <s v="2016/17"/>
    <n v="31398"/>
    <n v="62682"/>
    <n v="272161"/>
    <n v="0.98048327137546465"/>
    <n v="0.99198396793587174"/>
    <n v="12"/>
    <n v="0.33300000000000002"/>
    <n v="5.8400000000000001E-2"/>
  </r>
  <r>
    <x v="8"/>
    <s v="C-IV"/>
    <x v="5"/>
    <x v="5"/>
    <x v="5"/>
    <s v="2016/17"/>
    <n v="2586"/>
    <n v="5313"/>
    <n v="11959"/>
    <n v="1"/>
    <n v="0.95588235294117652"/>
    <n v="66"/>
    <n v="0.318"/>
    <n v="6.4600000000000005E-2"/>
  </r>
  <r>
    <x v="9"/>
    <s v="C-IV"/>
    <x v="5"/>
    <x v="5"/>
    <x v="5"/>
    <s v="2016/17"/>
    <n v="6914"/>
    <n v="12254"/>
    <n v="39088"/>
    <n v="0.9948320413436692"/>
    <n v="0.98913043478260865"/>
    <n v="66"/>
    <n v="0.318"/>
    <n v="6.4600000000000005E-2"/>
  </r>
  <r>
    <x v="10"/>
    <s v="CalWIN"/>
    <x v="5"/>
    <x v="5"/>
    <x v="5"/>
    <s v="2016/17"/>
    <n v="88492"/>
    <n v="205269"/>
    <n v="493344"/>
    <n v="0.95543731293648149"/>
    <n v="0.967741935483871"/>
    <n v="33"/>
    <n v="0.42399999999999999"/>
    <n v="3.5799999999999998E-2"/>
  </r>
  <r>
    <x v="11"/>
    <s v="C-IV"/>
    <x v="5"/>
    <x v="5"/>
    <x v="5"/>
    <s v="2016/17"/>
    <n v="1502"/>
    <n v="3424"/>
    <n v="12395"/>
    <n v="0.97872340425531912"/>
    <n v="0.95890410958904104"/>
    <n v="66"/>
    <n v="0.318"/>
    <n v="6.4600000000000005E-2"/>
  </r>
  <r>
    <x v="12"/>
    <s v="C-IV"/>
    <x v="5"/>
    <x v="5"/>
    <x v="5"/>
    <s v="2016/17"/>
    <n v="12156"/>
    <n v="20524"/>
    <n v="55564"/>
    <n v="0.99642857142857144"/>
    <n v="0.96889952153110048"/>
    <n v="66"/>
    <n v="0.318"/>
    <n v="6.4600000000000005E-2"/>
  </r>
  <r>
    <x v="13"/>
    <s v="C-IV"/>
    <x v="5"/>
    <x v="5"/>
    <x v="5"/>
    <s v="2016/17"/>
    <n v="17175"/>
    <n v="41625"/>
    <n v="94911"/>
    <n v="0.97573435504469985"/>
    <n v="0.95319148936170217"/>
    <n v="66"/>
    <n v="0.318"/>
    <n v="6.4600000000000005E-2"/>
  </r>
  <r>
    <x v="14"/>
    <s v="C-IV"/>
    <x v="5"/>
    <x v="5"/>
    <x v="5"/>
    <s v="2016/17"/>
    <n v="1018"/>
    <n v="1942"/>
    <n v="5515"/>
    <n v="1"/>
    <n v="0.78787878787878785"/>
    <n v="66"/>
    <n v="0.318"/>
    <n v="6.4600000000000005E-2"/>
  </r>
  <r>
    <x v="15"/>
    <s v="C-IV"/>
    <x v="5"/>
    <x v="5"/>
    <x v="5"/>
    <s v="2016/17"/>
    <n v="69012"/>
    <n v="160089"/>
    <n v="415266"/>
    <n v="0.99053452115812912"/>
    <n v="0.93905093600348277"/>
    <n v="17"/>
    <n v="0.23499999999999999"/>
    <n v="1.7399999999999999E-2"/>
  </r>
  <r>
    <x v="16"/>
    <s v="C-IV"/>
    <x v="5"/>
    <x v="5"/>
    <x v="5"/>
    <s v="2016/17"/>
    <n v="10610"/>
    <n v="23969"/>
    <n v="57594"/>
    <n v="0.99473684210526314"/>
    <n v="0.95419847328244278"/>
    <n v="66"/>
    <n v="0.318"/>
    <n v="6.4600000000000005E-2"/>
  </r>
  <r>
    <x v="17"/>
    <s v="C-IV"/>
    <x v="5"/>
    <x v="5"/>
    <x v="5"/>
    <s v="2016/17"/>
    <n v="6388"/>
    <n v="11854"/>
    <n v="32703"/>
    <n v="0.92883895131086147"/>
    <n v="0.89204545454545459"/>
    <n v="66"/>
    <n v="0.318"/>
    <n v="6.4600000000000005E-2"/>
  </r>
  <r>
    <x v="18"/>
    <s v="C-IV"/>
    <x v="5"/>
    <x v="5"/>
    <x v="5"/>
    <s v="2016/17"/>
    <n v="1598"/>
    <n v="3162"/>
    <n v="8061"/>
    <n v="0.85714285714285721"/>
    <n v="0.78873239436619713"/>
    <n v="66"/>
    <n v="0.318"/>
    <n v="6.4600000000000005E-2"/>
  </r>
  <r>
    <x v="19"/>
    <s v="LRS"/>
    <x v="5"/>
    <x v="5"/>
    <x v="5"/>
    <s v="2016/17"/>
    <n v="531794"/>
    <n v="1068841"/>
    <n v="3975793"/>
    <n v="0.99107911686701344"/>
    <n v="0.91699902985879056"/>
    <n v="259"/>
    <n v="0.46300000000000002"/>
    <n v="0.115"/>
  </r>
  <r>
    <x v="20"/>
    <s v="C-IV"/>
    <x v="5"/>
    <x v="5"/>
    <x v="5"/>
    <s v="2016/17"/>
    <n v="11544"/>
    <n v="27982"/>
    <n v="70476"/>
    <n v="0.99485861182519275"/>
    <n v="0.97925311203319498"/>
    <n v="66"/>
    <n v="0.318"/>
    <n v="6.4600000000000005E-2"/>
  </r>
  <r>
    <x v="21"/>
    <s v="C-IV"/>
    <x v="5"/>
    <x v="5"/>
    <x v="5"/>
    <s v="2016/17"/>
    <n v="5942"/>
    <n v="9819"/>
    <n v="47647"/>
    <n v="0.97445255474452552"/>
    <n v="0.96648044692737434"/>
    <n v="66"/>
    <n v="0.318"/>
    <n v="6.4600000000000005E-2"/>
  </r>
  <r>
    <x v="22"/>
    <s v="C-IV"/>
    <x v="5"/>
    <x v="5"/>
    <x v="5"/>
    <s v="2016/17"/>
    <n v="1026"/>
    <n v="1835"/>
    <n v="4796"/>
    <n v="0.8"/>
    <n v="0.75862068965517238"/>
    <n v="66"/>
    <n v="0.318"/>
    <n v="6.4600000000000005E-2"/>
  </r>
  <r>
    <x v="23"/>
    <s v="C-IV"/>
    <x v="5"/>
    <x v="5"/>
    <x v="5"/>
    <s v="2016/17"/>
    <n v="6329"/>
    <n v="11777"/>
    <n v="41512"/>
    <n v="0.94505494505494503"/>
    <n v="0.93725490196078431"/>
    <n v="66"/>
    <n v="0.318"/>
    <n v="6.4600000000000005E-2"/>
  </r>
  <r>
    <x v="24"/>
    <s v="C-IV"/>
    <x v="5"/>
    <x v="5"/>
    <x v="5"/>
    <s v="2016/17"/>
    <n v="23660"/>
    <n v="54748"/>
    <n v="140318"/>
    <n v="0.99209039548022604"/>
    <n v="0.9839486356340289"/>
    <n v="5"/>
    <n v="0"/>
    <n v="3.2199999999999999E-2"/>
  </r>
  <r>
    <x v="25"/>
    <s v="C-IV"/>
    <x v="5"/>
    <x v="5"/>
    <x v="5"/>
    <s v="2016/17"/>
    <n v="537"/>
    <n v="1137"/>
    <n v="3176"/>
    <n v="1"/>
    <n v="1"/>
    <n v="66"/>
    <n v="0.318"/>
    <n v="6.4600000000000005E-2"/>
  </r>
  <r>
    <x v="26"/>
    <s v="C-IV"/>
    <x v="5"/>
    <x v="5"/>
    <x v="5"/>
    <s v="2016/17"/>
    <n v="399"/>
    <n v="679"/>
    <n v="3734"/>
    <n v="0.97872340425531912"/>
    <n v="0.967741935483871"/>
    <n v="66"/>
    <n v="0.318"/>
    <n v="6.4600000000000005E-2"/>
  </r>
  <r>
    <x v="27"/>
    <s v="C-IV"/>
    <x v="5"/>
    <x v="5"/>
    <x v="5"/>
    <s v="2016/17"/>
    <n v="21073"/>
    <n v="46439"/>
    <n v="186385"/>
    <n v="0.99651162790697678"/>
    <n v="0.95372233400402417"/>
    <n v="6"/>
    <n v="0.33300000000000002"/>
    <n v="0.03"/>
  </r>
  <r>
    <x v="28"/>
    <s v="C-IV"/>
    <x v="5"/>
    <x v="5"/>
    <x v="5"/>
    <s v="2016/17"/>
    <n v="3222"/>
    <n v="6398"/>
    <n v="32479"/>
    <n v="0.9765625"/>
    <n v="0.95604395604395609"/>
    <n v="66"/>
    <n v="0.318"/>
    <n v="6.4600000000000005E-2"/>
  </r>
  <r>
    <x v="29"/>
    <s v="C-IV"/>
    <x v="5"/>
    <x v="5"/>
    <x v="5"/>
    <s v="2016/17"/>
    <n v="4148"/>
    <n v="7119"/>
    <n v="25057"/>
    <n v="0.86224489795918369"/>
    <n v="0.85401459854014594"/>
    <n v="66"/>
    <n v="0.318"/>
    <n v="6.4600000000000005E-2"/>
  </r>
  <r>
    <x v="30"/>
    <s v="CalWIN"/>
    <x v="5"/>
    <x v="5"/>
    <x v="5"/>
    <s v="2016/17"/>
    <n v="116037"/>
    <n v="234962"/>
    <n v="895828"/>
    <n v="0.99780482937537418"/>
    <n v="0.99809451219512191"/>
    <n v="38"/>
    <n v="0.36799999999999999"/>
    <n v="6.2899999999999998E-2"/>
  </r>
  <r>
    <x v="31"/>
    <s v="CalWIN"/>
    <x v="5"/>
    <x v="5"/>
    <x v="5"/>
    <s v="2016/17"/>
    <n v="8726"/>
    <n v="16164"/>
    <n v="62504"/>
    <n v="1"/>
    <n v="0.90954773869346739"/>
    <n v="66"/>
    <n v="0.318"/>
    <n v="6.4600000000000005E-2"/>
  </r>
  <r>
    <x v="32"/>
    <s v="C-IV"/>
    <x v="5"/>
    <x v="5"/>
    <x v="5"/>
    <s v="2016/17"/>
    <n v="1135"/>
    <n v="2071"/>
    <n v="6475"/>
    <n v="0.9285714285714286"/>
    <n v="0.88461538461538458"/>
    <n v="66"/>
    <n v="0.318"/>
    <n v="6.4600000000000005E-2"/>
  </r>
  <r>
    <x v="33"/>
    <s v="C-IV"/>
    <x v="5"/>
    <x v="5"/>
    <x v="5"/>
    <s v="2016/17"/>
    <n v="122275"/>
    <n v="269873"/>
    <n v="836681"/>
    <n v="0.99610960757780787"/>
    <n v="0.93061128156714656"/>
    <n v="32"/>
    <n v="0.34399999999999997"/>
    <n v="4.9500000000000002E-2"/>
  </r>
  <r>
    <x v="34"/>
    <s v="CalWIN"/>
    <x v="5"/>
    <x v="5"/>
    <x v="5"/>
    <s v="2016/17"/>
    <n v="98582"/>
    <n v="206394"/>
    <n v="554468"/>
    <n v="0.99323671497584543"/>
    <n v="0.99349349349349347"/>
    <n v="34"/>
    <n v="0.47099999999999997"/>
    <n v="4.65E-2"/>
  </r>
  <r>
    <x v="35"/>
    <s v="C-IV"/>
    <x v="5"/>
    <x v="5"/>
    <x v="5"/>
    <s v="2016/17"/>
    <n v="2244"/>
    <n v="5021"/>
    <n v="18830"/>
    <n v="0.97435897435897434"/>
    <n v="0.98148148148148151"/>
    <n v="66"/>
    <n v="0.318"/>
    <n v="6.4600000000000005E-2"/>
  </r>
  <r>
    <x v="36"/>
    <s v="C-IV"/>
    <x v="5"/>
    <x v="5"/>
    <x v="5"/>
    <s v="2016/17"/>
    <n v="166694"/>
    <n v="363138"/>
    <n v="884331"/>
    <n v="0.99291439191543729"/>
    <n v="0.95762282627047102"/>
    <n v="42"/>
    <n v="0.28599999999999998"/>
    <n v="3.6400000000000002E-2"/>
  </r>
  <r>
    <x v="37"/>
    <s v="CalWIN"/>
    <x v="5"/>
    <x v="5"/>
    <x v="5"/>
    <s v="2016/17"/>
    <n v="133304"/>
    <n v="267684"/>
    <n v="894693"/>
    <n v="0.98021760633036603"/>
    <n v="0.97419052088221492"/>
    <n v="53"/>
    <n v="0.41499999999999998"/>
    <n v="2.7199999999999998E-2"/>
  </r>
  <r>
    <x v="38"/>
    <s v="CalWIN"/>
    <x v="5"/>
    <x v="5"/>
    <x v="5"/>
    <s v="2016/17"/>
    <n v="34088"/>
    <n v="50807"/>
    <n v="221870"/>
    <n v="0.98164513936097897"/>
    <n v="0.91547464239271781"/>
    <n v="10"/>
    <n v="0.3"/>
    <n v="7.4700000000000003E-2"/>
  </r>
  <r>
    <x v="39"/>
    <s v="C-IV"/>
    <x v="5"/>
    <x v="5"/>
    <x v="5"/>
    <s v="2016/17"/>
    <n v="48610"/>
    <n v="107840"/>
    <n v="298445"/>
    <n v="0.98104738154613469"/>
    <n v="0.93707354056103109"/>
    <n v="12"/>
    <n v="8.3000000000000004E-2"/>
    <n v="3.8100000000000002E-2"/>
  </r>
  <r>
    <x v="40"/>
    <s v="CalWIN"/>
    <x v="5"/>
    <x v="5"/>
    <x v="5"/>
    <s v="2016/17"/>
    <n v="9608"/>
    <n v="17037"/>
    <n v="60671"/>
    <n v="0.97542997542997545"/>
    <n v="0.99604743083003955"/>
    <n v="66"/>
    <n v="0.318"/>
    <n v="6.4600000000000005E-2"/>
  </r>
  <r>
    <x v="41"/>
    <s v="CalWIN"/>
    <x v="5"/>
    <x v="5"/>
    <x v="5"/>
    <s v="2016/17"/>
    <n v="13636"/>
    <n v="26186"/>
    <n v="151510"/>
    <n v="0.98333333333333328"/>
    <n v="0.87687687687687688"/>
    <n v="66"/>
    <n v="0.318"/>
    <n v="6.4600000000000005E-2"/>
  </r>
  <r>
    <x v="42"/>
    <s v="CalWIN"/>
    <x v="5"/>
    <x v="5"/>
    <x v="5"/>
    <s v="2016/17"/>
    <n v="18503"/>
    <n v="37821"/>
    <n v="147481"/>
    <n v="0.98471337579617835"/>
    <n v="0.93771626297577859"/>
    <n v="66"/>
    <n v="0.318"/>
    <n v="6.4600000000000005E-2"/>
  </r>
  <r>
    <x v="43"/>
    <s v="CalWIN"/>
    <x v="5"/>
    <x v="5"/>
    <x v="5"/>
    <s v="2016/17"/>
    <n v="47284"/>
    <n v="92106"/>
    <n v="430757"/>
    <n v="0.9916666666666667"/>
    <n v="0.98357664233576647"/>
    <n v="15"/>
    <n v="0.4"/>
    <n v="4.1700000000000001E-2"/>
  </r>
  <r>
    <x v="44"/>
    <s v="CalWIN"/>
    <x v="5"/>
    <x v="5"/>
    <x v="5"/>
    <s v="2016/17"/>
    <n v="14653"/>
    <n v="26228"/>
    <n v="78488"/>
    <n v="0.9761336515513126"/>
    <n v="0.98378378378378384"/>
    <n v="66"/>
    <n v="0.318"/>
    <n v="6.4600000000000005E-2"/>
  </r>
  <r>
    <x v="45"/>
    <s v="C-IV"/>
    <x v="5"/>
    <x v="5"/>
    <x v="5"/>
    <s v="2016/17"/>
    <n v="12457"/>
    <n v="23286"/>
    <n v="63347"/>
    <n v="0.95292207792207795"/>
    <n v="0.97350993377483441"/>
    <n v="66"/>
    <n v="0.318"/>
    <n v="6.4600000000000005E-2"/>
  </r>
  <r>
    <x v="46"/>
    <s v="C-IV"/>
    <x v="5"/>
    <x v="5"/>
    <x v="5"/>
    <s v="2016/17"/>
    <n v="167"/>
    <n v="275"/>
    <n v="834"/>
    <n v="1"/>
    <n v="1"/>
    <n v="66"/>
    <n v="0.318"/>
    <n v="6.4600000000000005E-2"/>
  </r>
  <r>
    <x v="47"/>
    <s v="C-IV"/>
    <x v="5"/>
    <x v="5"/>
    <x v="5"/>
    <s v="2016/17"/>
    <n v="3096"/>
    <n v="6406"/>
    <n v="18956"/>
    <n v="0.99173553719008267"/>
    <n v="0.86419753086419748"/>
    <n v="66"/>
    <n v="0.318"/>
    <n v="6.4600000000000005E-2"/>
  </r>
  <r>
    <x v="48"/>
    <s v="CalWIN"/>
    <x v="5"/>
    <x v="5"/>
    <x v="5"/>
    <s v="2016/17"/>
    <n v="21025"/>
    <n v="39458"/>
    <n v="121535"/>
    <n v="0.98358585858585856"/>
    <n v="0.97641509433962259"/>
    <n v="8"/>
    <n v="0.5"/>
    <n v="5.0000000000000001E-3"/>
  </r>
  <r>
    <x v="49"/>
    <s v="CalWIN"/>
    <x v="5"/>
    <x v="5"/>
    <x v="5"/>
    <s v="2016/17"/>
    <n v="17326"/>
    <n v="30450"/>
    <n v="128323"/>
    <n v="0.99141630901287559"/>
    <n v="0.90769230769230769"/>
    <n v="66"/>
    <n v="0.318"/>
    <n v="6.4600000000000005E-2"/>
  </r>
  <r>
    <x v="50"/>
    <s v="C-IV"/>
    <x v="5"/>
    <x v="5"/>
    <x v="5"/>
    <s v="2016/17"/>
    <n v="39844"/>
    <n v="83142"/>
    <n v="249728"/>
    <n v="0.97940267765190525"/>
    <n v="0.95482388973966315"/>
    <n v="9"/>
    <n v="0.55600000000000005"/>
    <n v="4.3200000000000002E-2"/>
  </r>
  <r>
    <x v="51"/>
    <s v="C-IV"/>
    <x v="5"/>
    <x v="5"/>
    <x v="5"/>
    <s v="2016/17"/>
    <n v="5558"/>
    <n v="12737"/>
    <n v="42815"/>
    <n v="0.98165137614678899"/>
    <n v="0.90184049079754602"/>
    <n v="66"/>
    <n v="0.318"/>
    <n v="6.4600000000000005E-2"/>
  </r>
  <r>
    <x v="52"/>
    <s v="C-IV"/>
    <x v="5"/>
    <x v="5"/>
    <x v="5"/>
    <s v="2016/17"/>
    <n v="4319"/>
    <n v="9386"/>
    <n v="27310"/>
    <n v="0.94475138121546964"/>
    <n v="0.94736842105263153"/>
    <n v="66"/>
    <n v="0.318"/>
    <n v="6.4600000000000005E-2"/>
  </r>
  <r>
    <x v="53"/>
    <s v="C-IV"/>
    <x v="5"/>
    <x v="5"/>
    <x v="5"/>
    <s v="2016/17"/>
    <n v="974"/>
    <n v="1706"/>
    <n v="4830"/>
    <n v="0.92982456140350878"/>
    <n v="0.75609756097560976"/>
    <n v="66"/>
    <n v="0.318"/>
    <n v="6.4600000000000005E-2"/>
  </r>
  <r>
    <x v="54"/>
    <s v="CalWIN"/>
    <x v="5"/>
    <x v="5"/>
    <x v="5"/>
    <s v="2016/17"/>
    <n v="50995"/>
    <n v="118132"/>
    <n v="256802"/>
    <n v="0.99111807732497392"/>
    <n v="0.93571428571428572"/>
    <n v="14"/>
    <n v="0.42899999999999999"/>
    <n v="4.2999999999999997E-2"/>
  </r>
  <r>
    <x v="55"/>
    <s v="C-IV"/>
    <x v="5"/>
    <x v="5"/>
    <x v="5"/>
    <s v="2016/17"/>
    <n v="2863"/>
    <n v="5039"/>
    <n v="14076"/>
    <n v="0.98347107438016534"/>
    <n v="0.9135802469135802"/>
    <n v="66"/>
    <n v="0.318"/>
    <n v="6.4600000000000005E-2"/>
  </r>
  <r>
    <x v="56"/>
    <s v="CalWIN"/>
    <x v="5"/>
    <x v="5"/>
    <x v="5"/>
    <s v="2016/17"/>
    <n v="35340"/>
    <n v="70075"/>
    <n v="234314"/>
    <n v="0.99146625290923196"/>
    <n v="0.96296296296296291"/>
    <n v="13"/>
    <n v="0.154"/>
    <n v="8.9499999999999996E-2"/>
  </r>
  <r>
    <x v="57"/>
    <s v="CalWIN"/>
    <x v="5"/>
    <x v="5"/>
    <x v="5"/>
    <s v="2016/17"/>
    <n v="10054"/>
    <n v="19272"/>
    <n v="59130"/>
    <n v="0.95414847161572047"/>
    <n v="0.96916299559471364"/>
    <n v="66"/>
    <n v="0.318"/>
    <n v="6.4600000000000005E-2"/>
  </r>
  <r>
    <x v="58"/>
    <s v="C-IV"/>
    <x v="5"/>
    <x v="5"/>
    <x v="5"/>
    <s v="2016/17"/>
    <n v="5983"/>
    <n v="12987"/>
    <n v="32723"/>
    <n v="1"/>
    <n v="0.97211155378486058"/>
    <n v="66"/>
    <n v="0.318"/>
    <n v="6.4600000000000005E-2"/>
  </r>
  <r>
    <x v="0"/>
    <s v="n/a"/>
    <x v="6"/>
    <x v="5"/>
    <x v="5"/>
    <s v="2017/18"/>
    <n v="1970777"/>
    <n v="4065857"/>
    <n v="13332791"/>
    <n v="0.98644102942192935"/>
    <n v="0.93133280786698192"/>
    <n v="730"/>
    <n v="0.38500000000000001"/>
    <n v="6.2700000000000006E-2"/>
  </r>
  <r>
    <x v="1"/>
    <s v="CalWIN"/>
    <x v="6"/>
    <x v="5"/>
    <x v="5"/>
    <s v="2017/18"/>
    <n v="56864"/>
    <n v="107183"/>
    <n v="433021"/>
    <s v="n/a"/>
    <s v="n/a"/>
    <n v="19"/>
    <n v="0.42099999999999999"/>
    <n v="3.3799999999999997E-2"/>
  </r>
  <r>
    <x v="2"/>
    <s v="C-IV"/>
    <x v="6"/>
    <x v="5"/>
    <x v="5"/>
    <s v="2017/18"/>
    <n v="76"/>
    <n v="138"/>
    <n v="317"/>
    <n v="1"/>
    <n v="1"/>
    <n v="71"/>
    <n v="0.29599999999999999"/>
    <n v="6.3500000000000001E-2"/>
  </r>
  <r>
    <x v="3"/>
    <s v="C-IV"/>
    <x v="6"/>
    <x v="5"/>
    <x v="5"/>
    <s v="2017/18"/>
    <n v="1649"/>
    <n v="2999"/>
    <n v="8197"/>
    <n v="0.9438202247191011"/>
    <n v="0.98181818181818181"/>
    <n v="71"/>
    <n v="0.29599999999999999"/>
    <n v="6.3500000000000001E-2"/>
  </r>
  <r>
    <x v="4"/>
    <s v="C-IV"/>
    <x v="6"/>
    <x v="5"/>
    <x v="5"/>
    <s v="2017/18"/>
    <n v="16651"/>
    <n v="30937"/>
    <n v="82969"/>
    <n v="0.92170329670329676"/>
    <n v="0.95777351247600773"/>
    <n v="71"/>
    <n v="0.29599999999999999"/>
    <n v="6.3500000000000001E-2"/>
  </r>
  <r>
    <x v="5"/>
    <s v="C-IV"/>
    <x v="6"/>
    <x v="5"/>
    <x v="5"/>
    <s v="2017/18"/>
    <n v="2785"/>
    <n v="4980"/>
    <n v="12062"/>
    <n v="0.96946564885496178"/>
    <n v="0.94047619047619047"/>
    <n v="71"/>
    <n v="0.29599999999999999"/>
    <n v="6.3500000000000001E-2"/>
  </r>
  <r>
    <x v="6"/>
    <s v="C-IV"/>
    <x v="6"/>
    <x v="5"/>
    <x v="5"/>
    <s v="2017/18"/>
    <n v="687"/>
    <n v="1527"/>
    <n v="9093"/>
    <n v="1"/>
    <n v="1"/>
    <n v="71"/>
    <n v="0.29599999999999999"/>
    <n v="6.3500000000000001E-2"/>
  </r>
  <r>
    <x v="7"/>
    <s v="CalWIN"/>
    <x v="6"/>
    <x v="5"/>
    <x v="5"/>
    <s v="2017/18"/>
    <n v="31242"/>
    <n v="62388"/>
    <n v="271180"/>
    <n v="0.97601668404588116"/>
    <n v="0.97815533980582525"/>
    <n v="12"/>
    <n v="0.33300000000000002"/>
    <n v="5.9499999999999997E-2"/>
  </r>
  <r>
    <x v="8"/>
    <s v="C-IV"/>
    <x v="6"/>
    <x v="5"/>
    <x v="5"/>
    <s v="2017/18"/>
    <n v="2564"/>
    <n v="5249"/>
    <n v="12019"/>
    <n v="0.98863636363636365"/>
    <n v="0.92537313432835822"/>
    <n v="71"/>
    <n v="0.29599999999999999"/>
    <n v="6.3500000000000001E-2"/>
  </r>
  <r>
    <x v="9"/>
    <s v="C-IV"/>
    <x v="6"/>
    <x v="5"/>
    <x v="5"/>
    <s v="2017/18"/>
    <n v="6817"/>
    <n v="12046"/>
    <n v="38830"/>
    <n v="0.99680511182108622"/>
    <n v="0.98706896551724133"/>
    <n v="71"/>
    <n v="0.29599999999999999"/>
    <n v="6.3500000000000001E-2"/>
  </r>
  <r>
    <x v="10"/>
    <s v="CalWIN"/>
    <x v="6"/>
    <x v="5"/>
    <x v="5"/>
    <s v="2017/18"/>
    <n v="87986"/>
    <n v="203978"/>
    <n v="491981"/>
    <n v="0.97408829174664102"/>
    <n v="0.94849023090586149"/>
    <n v="35"/>
    <n v="0.4"/>
    <n v="3.6700000000000003E-2"/>
  </r>
  <r>
    <x v="11"/>
    <s v="C-IV"/>
    <x v="6"/>
    <x v="5"/>
    <x v="5"/>
    <s v="2017/18"/>
    <n v="1469"/>
    <n v="3359"/>
    <n v="12461"/>
    <n v="1"/>
    <n v="0.92105263157894735"/>
    <n v="71"/>
    <n v="0.29599999999999999"/>
    <n v="6.3500000000000001E-2"/>
  </r>
  <r>
    <x v="12"/>
    <s v="C-IV"/>
    <x v="6"/>
    <x v="5"/>
    <x v="5"/>
    <s v="2017/18"/>
    <n v="12014"/>
    <n v="20316"/>
    <n v="55401"/>
    <n v="0.99293286219081267"/>
    <n v="0.98280098280098283"/>
    <n v="71"/>
    <n v="0.29599999999999999"/>
    <n v="6.3500000000000001E-2"/>
  </r>
  <r>
    <x v="13"/>
    <s v="C-IV"/>
    <x v="6"/>
    <x v="5"/>
    <x v="5"/>
    <s v="2017/18"/>
    <n v="17191"/>
    <n v="41667"/>
    <n v="94915"/>
    <n v="0.97153465346534651"/>
    <n v="0.94479830148619959"/>
    <n v="71"/>
    <n v="0.29599999999999999"/>
    <n v="6.3500000000000001E-2"/>
  </r>
  <r>
    <x v="14"/>
    <s v="C-IV"/>
    <x v="6"/>
    <x v="5"/>
    <x v="5"/>
    <s v="2017/18"/>
    <n v="1012"/>
    <n v="1936"/>
    <n v="5505"/>
    <n v="0.98360655737704916"/>
    <n v="0.95652173913043481"/>
    <n v="71"/>
    <n v="0.29599999999999999"/>
    <n v="6.3500000000000001E-2"/>
  </r>
  <r>
    <x v="15"/>
    <s v="C-IV"/>
    <x v="6"/>
    <x v="5"/>
    <x v="5"/>
    <s v="2017/18"/>
    <n v="68701"/>
    <n v="159585"/>
    <n v="412928"/>
    <n v="0.98810214741729541"/>
    <n v="0.92284085927224901"/>
    <n v="18"/>
    <n v="0.222"/>
    <n v="1.6299999999999999E-2"/>
  </r>
  <r>
    <x v="16"/>
    <s v="C-IV"/>
    <x v="6"/>
    <x v="5"/>
    <x v="5"/>
    <s v="2017/18"/>
    <n v="10493"/>
    <n v="23734"/>
    <n v="57512"/>
    <n v="1"/>
    <n v="0.93582887700534756"/>
    <n v="71"/>
    <n v="0.29599999999999999"/>
    <n v="6.3500000000000001E-2"/>
  </r>
  <r>
    <x v="17"/>
    <s v="C-IV"/>
    <x v="6"/>
    <x v="5"/>
    <x v="5"/>
    <s v="2017/18"/>
    <n v="6351"/>
    <n v="11765"/>
    <n v="32733"/>
    <n v="0.93846153846153846"/>
    <n v="0.91764705882352937"/>
    <n v="71"/>
    <n v="0.29599999999999999"/>
    <n v="6.3500000000000001E-2"/>
  </r>
  <r>
    <x v="18"/>
    <s v="C-IV"/>
    <x v="6"/>
    <x v="5"/>
    <x v="5"/>
    <s v="2017/18"/>
    <n v="1584"/>
    <n v="3164"/>
    <n v="8075"/>
    <n v="0.91891891891891886"/>
    <n v="0.88888888888888884"/>
    <n v="71"/>
    <n v="0.29599999999999999"/>
    <n v="6.3500000000000001E-2"/>
  </r>
  <r>
    <x v="19"/>
    <s v="LRS"/>
    <x v="6"/>
    <x v="5"/>
    <x v="5"/>
    <s v="2017/18"/>
    <n v="531015"/>
    <n v="1066219"/>
    <n v="3964005"/>
    <n v="0.99006645438183583"/>
    <n v="0.90822669104204756"/>
    <n v="269"/>
    <n v="0.46100000000000002"/>
    <n v="0.113"/>
  </r>
  <r>
    <x v="20"/>
    <s v="C-IV"/>
    <x v="6"/>
    <x v="5"/>
    <x v="5"/>
    <s v="2017/18"/>
    <n v="11408"/>
    <n v="27701"/>
    <n v="70277"/>
    <n v="0.99173553719008267"/>
    <n v="0.94117647058823528"/>
    <n v="71"/>
    <n v="0.29599999999999999"/>
    <n v="6.3500000000000001E-2"/>
  </r>
  <r>
    <x v="21"/>
    <s v="C-IV"/>
    <x v="6"/>
    <x v="5"/>
    <x v="5"/>
    <s v="2017/18"/>
    <n v="5939"/>
    <n v="9844"/>
    <n v="47528"/>
    <n v="0.97945205479452058"/>
    <n v="0.94054054054054059"/>
    <n v="71"/>
    <n v="0.29599999999999999"/>
    <n v="6.3500000000000001E-2"/>
  </r>
  <r>
    <x v="22"/>
    <s v="C-IV"/>
    <x v="6"/>
    <x v="5"/>
    <x v="5"/>
    <s v="2017/18"/>
    <n v="1014"/>
    <n v="1826"/>
    <n v="4842"/>
    <n v="0.8666666666666667"/>
    <n v="0.81081081081081086"/>
    <n v="71"/>
    <n v="0.29599999999999999"/>
    <n v="6.3500000000000001E-2"/>
  </r>
  <r>
    <x v="23"/>
    <s v="C-IV"/>
    <x v="6"/>
    <x v="5"/>
    <x v="5"/>
    <s v="2017/18"/>
    <n v="6260"/>
    <n v="11716"/>
    <n v="41538"/>
    <n v="0.96276595744680848"/>
    <n v="0.92996108949416345"/>
    <n v="71"/>
    <n v="0.29599999999999999"/>
    <n v="6.3500000000000001E-2"/>
  </r>
  <r>
    <x v="24"/>
    <s v="C-IV"/>
    <x v="6"/>
    <x v="5"/>
    <x v="5"/>
    <s v="2017/18"/>
    <n v="23507"/>
    <n v="54447"/>
    <n v="139939"/>
    <n v="0.98083427282976321"/>
    <n v="0.97936507936507933"/>
    <n v="6"/>
    <n v="0"/>
    <n v="3.3700000000000001E-2"/>
  </r>
  <r>
    <x v="25"/>
    <s v="C-IV"/>
    <x v="6"/>
    <x v="5"/>
    <x v="5"/>
    <s v="2017/18"/>
    <n v="540"/>
    <n v="1152"/>
    <n v="3192"/>
    <n v="0.96551724137931039"/>
    <n v="0.95652173913043481"/>
    <n v="71"/>
    <n v="0.29599999999999999"/>
    <n v="6.3500000000000001E-2"/>
  </r>
  <r>
    <x v="26"/>
    <s v="C-IV"/>
    <x v="6"/>
    <x v="5"/>
    <x v="5"/>
    <s v="2017/18"/>
    <n v="393"/>
    <n v="676"/>
    <n v="3743"/>
    <n v="1"/>
    <n v="1"/>
    <n v="71"/>
    <n v="0.29599999999999999"/>
    <n v="6.3500000000000001E-2"/>
  </r>
  <r>
    <x v="27"/>
    <s v="C-IV"/>
    <x v="6"/>
    <x v="5"/>
    <x v="5"/>
    <s v="2017/18"/>
    <n v="20137"/>
    <n v="43982"/>
    <n v="186228"/>
    <n v="0.99519230769230771"/>
    <n v="0.96146044624746452"/>
    <n v="6"/>
    <n v="0.33300000000000002"/>
    <n v="2.98E-2"/>
  </r>
  <r>
    <x v="28"/>
    <s v="C-IV"/>
    <x v="6"/>
    <x v="5"/>
    <x v="5"/>
    <s v="2017/18"/>
    <n v="3123"/>
    <n v="6168"/>
    <n v="32310"/>
    <n v="0.96116504854368934"/>
    <n v="0.93421052631578949"/>
    <n v="71"/>
    <n v="0.29599999999999999"/>
    <n v="6.3500000000000001E-2"/>
  </r>
  <r>
    <x v="29"/>
    <s v="C-IV"/>
    <x v="6"/>
    <x v="5"/>
    <x v="5"/>
    <s v="2017/18"/>
    <n v="4111"/>
    <n v="7099"/>
    <n v="25123"/>
    <n v="0.86602870813397126"/>
    <n v="0.86792452830188682"/>
    <n v="71"/>
    <n v="0.29599999999999999"/>
    <n v="6.3500000000000001E-2"/>
  </r>
  <r>
    <x v="30"/>
    <s v="CalWIN"/>
    <x v="6"/>
    <x v="5"/>
    <x v="5"/>
    <s v="2017/18"/>
    <n v="115149"/>
    <n v="233056"/>
    <n v="893729"/>
    <n v="0.99607329842931935"/>
    <n v="0.99780509218612823"/>
    <n v="40"/>
    <n v="0.35"/>
    <n v="6.3799999999999996E-2"/>
  </r>
  <r>
    <x v="31"/>
    <s v="CalWIN"/>
    <x v="6"/>
    <x v="5"/>
    <x v="5"/>
    <s v="2017/18"/>
    <n v="8684"/>
    <n v="16142"/>
    <n v="62032"/>
    <n v="1"/>
    <n v="0.9285714285714286"/>
    <n v="71"/>
    <n v="0.29599999999999999"/>
    <n v="6.3500000000000001E-2"/>
  </r>
  <r>
    <x v="32"/>
    <s v="C-IV"/>
    <x v="6"/>
    <x v="5"/>
    <x v="5"/>
    <s v="2017/18"/>
    <n v="1108"/>
    <n v="1950"/>
    <n v="6492"/>
    <n v="1"/>
    <n v="0.83333333333333337"/>
    <n v="71"/>
    <n v="0.29599999999999999"/>
    <n v="6.3500000000000001E-2"/>
  </r>
  <r>
    <x v="33"/>
    <s v="C-IV"/>
    <x v="6"/>
    <x v="5"/>
    <x v="5"/>
    <s v="2017/18"/>
    <n v="121753"/>
    <n v="268703"/>
    <n v="835392"/>
    <n v="0.9942117807286347"/>
    <n v="0.91702228544333808"/>
    <n v="34"/>
    <n v="0.32400000000000001"/>
    <n v="5.04E-2"/>
  </r>
  <r>
    <x v="34"/>
    <s v="CalWIN"/>
    <x v="6"/>
    <x v="5"/>
    <x v="5"/>
    <s v="2017/18"/>
    <n v="97997"/>
    <n v="204946"/>
    <n v="550283"/>
    <n v="0.99522292993630568"/>
    <n v="0.99180327868852458"/>
    <n v="36"/>
    <n v="0.47199999999999998"/>
    <n v="4.2599999999999999E-2"/>
  </r>
  <r>
    <x v="35"/>
    <s v="C-IV"/>
    <x v="6"/>
    <x v="5"/>
    <x v="5"/>
    <s v="2017/18"/>
    <n v="2180"/>
    <n v="4853"/>
    <n v="18696"/>
    <n v="1"/>
    <n v="0.97499999999999998"/>
    <n v="71"/>
    <n v="0.29599999999999999"/>
    <n v="6.3500000000000001E-2"/>
  </r>
  <r>
    <x v="36"/>
    <s v="C-IV"/>
    <x v="6"/>
    <x v="5"/>
    <x v="5"/>
    <s v="2017/18"/>
    <n v="165609"/>
    <n v="361132"/>
    <n v="882182"/>
    <n v="0.99234507897934388"/>
    <n v="0.93748899454129253"/>
    <n v="44"/>
    <n v="0.27300000000000002"/>
    <n v="3.7100000000000001E-2"/>
  </r>
  <r>
    <x v="37"/>
    <s v="CalWIN"/>
    <x v="6"/>
    <x v="5"/>
    <x v="5"/>
    <s v="2017/18"/>
    <n v="132680"/>
    <n v="266491"/>
    <n v="893229"/>
    <n v="0.97605200136845705"/>
    <n v="0.95559425337396608"/>
    <n v="56"/>
    <n v="0.41099999999999998"/>
    <n v="2.81E-2"/>
  </r>
  <r>
    <x v="38"/>
    <s v="CalWIN"/>
    <x v="6"/>
    <x v="5"/>
    <x v="5"/>
    <s v="2017/18"/>
    <n v="34008"/>
    <n v="50759"/>
    <n v="221431"/>
    <n v="0.99129852744310576"/>
    <n v="0.89503546099290776"/>
    <n v="10"/>
    <n v="0.3"/>
    <n v="8.0199999999999994E-2"/>
  </r>
  <r>
    <x v="39"/>
    <s v="C-IV"/>
    <x v="6"/>
    <x v="5"/>
    <x v="5"/>
    <s v="2017/18"/>
    <n v="48123"/>
    <n v="106642"/>
    <n v="298546"/>
    <n v="0.98465608465608467"/>
    <n v="0.90307328605200943"/>
    <n v="13"/>
    <n v="7.6999999999999999E-2"/>
    <n v="3.8600000000000002E-2"/>
  </r>
  <r>
    <x v="40"/>
    <s v="CalWIN"/>
    <x v="6"/>
    <x v="5"/>
    <x v="5"/>
    <s v="2017/18"/>
    <n v="9485"/>
    <n v="16840"/>
    <n v="60209"/>
    <n v="0.99162011173184361"/>
    <n v="0.97499999999999998"/>
    <n v="71"/>
    <n v="0.29599999999999999"/>
    <n v="6.3500000000000001E-2"/>
  </r>
  <r>
    <x v="41"/>
    <s v="CalWIN"/>
    <x v="6"/>
    <x v="5"/>
    <x v="5"/>
    <s v="2017/18"/>
    <n v="13512"/>
    <n v="25954"/>
    <n v="150607"/>
    <n v="0.97556008146639517"/>
    <n v="0.87687687687687688"/>
    <n v="71"/>
    <n v="0.29599999999999999"/>
    <n v="6.3500000000000001E-2"/>
  </r>
  <r>
    <x v="42"/>
    <s v="CalWIN"/>
    <x v="6"/>
    <x v="5"/>
    <x v="5"/>
    <s v="2017/18"/>
    <n v="18150"/>
    <n v="36933"/>
    <n v="147410"/>
    <n v="0.98153034300791553"/>
    <n v="0.91275167785234901"/>
    <n v="71"/>
    <n v="0.29599999999999999"/>
    <n v="6.3500000000000001E-2"/>
  </r>
  <r>
    <x v="43"/>
    <s v="CalWIN"/>
    <x v="6"/>
    <x v="5"/>
    <x v="5"/>
    <s v="2017/18"/>
    <n v="46568"/>
    <n v="90705"/>
    <n v="424250"/>
    <n v="0.9905977165883143"/>
    <n v="0.984375"/>
    <n v="15"/>
    <n v="0.4"/>
    <n v="4.2700000000000002E-2"/>
  </r>
  <r>
    <x v="44"/>
    <s v="CalWIN"/>
    <x v="6"/>
    <x v="5"/>
    <x v="5"/>
    <s v="2017/18"/>
    <n v="14252"/>
    <n v="25362"/>
    <n v="78054"/>
    <n v="0.97783251231527091"/>
    <n v="0.98378378378378384"/>
    <n v="71"/>
    <n v="0.29599999999999999"/>
    <n v="6.3500000000000001E-2"/>
  </r>
  <r>
    <x v="45"/>
    <s v="C-IV"/>
    <x v="6"/>
    <x v="5"/>
    <x v="5"/>
    <s v="2017/18"/>
    <n v="12332"/>
    <n v="23135"/>
    <n v="63132"/>
    <n v="0.94138543516873885"/>
    <n v="0.95750000000000002"/>
    <n v="71"/>
    <n v="0.29599999999999999"/>
    <n v="6.3500000000000001E-2"/>
  </r>
  <r>
    <x v="46"/>
    <s v="C-IV"/>
    <x v="6"/>
    <x v="5"/>
    <x v="5"/>
    <s v="2017/18"/>
    <n v="155"/>
    <n v="259"/>
    <n v="850"/>
    <n v="0.875"/>
    <n v="1"/>
    <n v="71"/>
    <n v="0.29599999999999999"/>
    <n v="6.3500000000000001E-2"/>
  </r>
  <r>
    <x v="47"/>
    <s v="C-IV"/>
    <x v="6"/>
    <x v="5"/>
    <x v="5"/>
    <s v="2017/18"/>
    <n v="3071"/>
    <n v="6325"/>
    <n v="18931"/>
    <n v="0.99065420560747663"/>
    <n v="0.81927710843373491"/>
    <n v="71"/>
    <n v="0.29599999999999999"/>
    <n v="6.3500000000000001E-2"/>
  </r>
  <r>
    <x v="48"/>
    <s v="CalWIN"/>
    <x v="6"/>
    <x v="5"/>
    <x v="5"/>
    <s v="2017/18"/>
    <n v="20918"/>
    <n v="39289"/>
    <n v="120833"/>
    <n v="0.97564276048714482"/>
    <n v="0.97862232779097391"/>
    <n v="8"/>
    <n v="0.5"/>
    <n v="5.1999999999999998E-3"/>
  </r>
  <r>
    <x v="49"/>
    <s v="CalWIN"/>
    <x v="6"/>
    <x v="5"/>
    <x v="5"/>
    <s v="2017/18"/>
    <n v="17114"/>
    <n v="30018"/>
    <n v="127731"/>
    <n v="0.98815165876777256"/>
    <n v="0.92583732057416268"/>
    <n v="71"/>
    <n v="0.29599999999999999"/>
    <n v="6.3500000000000001E-2"/>
  </r>
  <r>
    <x v="50"/>
    <s v="C-IV"/>
    <x v="6"/>
    <x v="5"/>
    <x v="5"/>
    <s v="2017/18"/>
    <n v="39640"/>
    <n v="82629"/>
    <n v="250094"/>
    <n v="0.98466780238500851"/>
    <n v="0.95292207792207795"/>
    <n v="9"/>
    <n v="0.55600000000000005"/>
    <n v="4.1700000000000001E-2"/>
  </r>
  <r>
    <x v="51"/>
    <s v="C-IV"/>
    <x v="6"/>
    <x v="5"/>
    <x v="5"/>
    <s v="2017/18"/>
    <n v="5452"/>
    <n v="12529"/>
    <n v="42493"/>
    <n v="0.989247311827957"/>
    <n v="0.92253521126760563"/>
    <n v="71"/>
    <n v="0.29599999999999999"/>
    <n v="6.3500000000000001E-2"/>
  </r>
  <r>
    <x v="52"/>
    <s v="C-IV"/>
    <x v="6"/>
    <x v="5"/>
    <x v="5"/>
    <s v="2017/18"/>
    <n v="4269"/>
    <n v="9227"/>
    <n v="27150"/>
    <n v="0.91836734693877553"/>
    <n v="0.95774647887323938"/>
    <n v="71"/>
    <n v="0.29599999999999999"/>
    <n v="6.3500000000000001E-2"/>
  </r>
  <r>
    <x v="53"/>
    <s v="C-IV"/>
    <x v="6"/>
    <x v="5"/>
    <x v="5"/>
    <s v="2017/18"/>
    <n v="937"/>
    <n v="1645"/>
    <n v="4825"/>
    <n v="0.95"/>
    <n v="0.6071428571428571"/>
    <n v="71"/>
    <n v="0.29599999999999999"/>
    <n v="6.3500000000000001E-2"/>
  </r>
  <r>
    <x v="54"/>
    <s v="CalWIN"/>
    <x v="6"/>
    <x v="5"/>
    <x v="5"/>
    <s v="2017/18"/>
    <n v="50612"/>
    <n v="117038"/>
    <n v="257136"/>
    <n v="0.98274932614555255"/>
    <n v="0.92019950124688277"/>
    <n v="15"/>
    <n v="0.4"/>
    <n v="3.9600000000000003E-2"/>
  </r>
  <r>
    <x v="55"/>
    <s v="C-IV"/>
    <x v="6"/>
    <x v="5"/>
    <x v="5"/>
    <s v="2017/18"/>
    <n v="2807"/>
    <n v="4955"/>
    <n v="14032"/>
    <n v="0.97478991596638653"/>
    <n v="0.96"/>
    <n v="71"/>
    <n v="0.29599999999999999"/>
    <n v="6.3500000000000001E-2"/>
  </r>
  <r>
    <x v="56"/>
    <s v="CalWIN"/>
    <x v="6"/>
    <x v="5"/>
    <x v="5"/>
    <s v="2017/18"/>
    <n v="34711"/>
    <n v="68560"/>
    <n v="233360"/>
    <n v="0.98535394629780304"/>
    <n v="0.96626506024096381"/>
    <n v="14"/>
    <n v="0.14299999999999999"/>
    <n v="7.3099999999999998E-2"/>
  </r>
  <r>
    <x v="57"/>
    <s v="CalWIN"/>
    <x v="6"/>
    <x v="5"/>
    <x v="5"/>
    <s v="2017/18"/>
    <n v="9887"/>
    <n v="18924"/>
    <n v="58987"/>
    <n v="0.94871794871794868"/>
    <n v="0.9375"/>
    <n v="71"/>
    <n v="0.29599999999999999"/>
    <n v="6.3500000000000001E-2"/>
  </r>
  <r>
    <x v="58"/>
    <s v="C-IV"/>
    <x v="6"/>
    <x v="5"/>
    <x v="5"/>
    <s v="2017/18"/>
    <n v="6031"/>
    <n v="13075"/>
    <n v="32771"/>
    <n v="0.99691358024691357"/>
    <n v="0.9543568464730291"/>
    <n v="71"/>
    <n v="0.29599999999999999"/>
    <n v="6.3500000000000001E-2"/>
  </r>
  <r>
    <x v="0"/>
    <s v="n/a"/>
    <x v="7"/>
    <x v="5"/>
    <x v="5"/>
    <s v="2017/18"/>
    <n v="1985432"/>
    <n v="4085865"/>
    <n v="13358391"/>
    <n v="0.9841604048755046"/>
    <n v="0.93026985001133822"/>
    <n v="763"/>
    <n v="0.39100000000000001"/>
    <n v="6.1899999999999997E-2"/>
  </r>
  <r>
    <x v="1"/>
    <s v="CalWIN"/>
    <x v="7"/>
    <x v="5"/>
    <x v="5"/>
    <s v="2017/18"/>
    <n v="57382"/>
    <n v="107694"/>
    <n v="436371"/>
    <s v="n/a"/>
    <s v="n/a"/>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n v="795"/>
    <n v="0.39"/>
    <n v="6.6400000000000001E-2"/>
  </r>
  <r>
    <x v="1"/>
    <s v="CalWIN"/>
    <x v="8"/>
    <x v="5"/>
    <x v="5"/>
    <s v="2017/18"/>
    <n v="57189"/>
    <n v="107586"/>
    <m/>
    <s v="n/a"/>
    <s v="n/a"/>
    <n v="21"/>
    <n v="0.42899999999999999"/>
    <n v="2.8799999999999999E-2"/>
  </r>
  <r>
    <x v="2"/>
    <s v="C-IV"/>
    <x v="8"/>
    <x v="5"/>
    <x v="5"/>
    <s v="2017/18"/>
    <n v="76"/>
    <n v="136"/>
    <m/>
    <n v="1"/>
    <n v="0.25"/>
    <n v="81"/>
    <n v="0.29599999999999999"/>
    <n v="9.0300000000000005E-2"/>
  </r>
  <r>
    <x v="3"/>
    <s v="C-IV"/>
    <x v="8"/>
    <x v="5"/>
    <x v="5"/>
    <s v="2017/18"/>
    <n v="1651"/>
    <n v="2996"/>
    <m/>
    <n v="0.97802197802197799"/>
    <n v="0.98113207547169812"/>
    <n v="81"/>
    <n v="0.29599999999999999"/>
    <n v="9.0300000000000005E-2"/>
  </r>
  <r>
    <x v="4"/>
    <s v="C-IV"/>
    <x v="8"/>
    <x v="5"/>
    <x v="5"/>
    <s v="2017/18"/>
    <n v="16547"/>
    <n v="30767"/>
    <m/>
    <n v="0.87278761061946897"/>
    <n v="0.93620178041543023"/>
    <n v="81"/>
    <n v="0.29599999999999999"/>
    <n v="9.0300000000000005E-2"/>
  </r>
  <r>
    <x v="5"/>
    <s v="C-IV"/>
    <x v="8"/>
    <x v="5"/>
    <x v="5"/>
    <s v="2017/18"/>
    <n v="2796"/>
    <n v="5024"/>
    <m/>
    <n v="0.97457627118644063"/>
    <n v="0.91025641025641024"/>
    <n v="81"/>
    <n v="0.29599999999999999"/>
    <n v="9.0300000000000005E-2"/>
  </r>
  <r>
    <x v="6"/>
    <s v="C-IV"/>
    <x v="8"/>
    <x v="5"/>
    <x v="5"/>
    <s v="2017/18"/>
    <n v="690"/>
    <n v="1509"/>
    <m/>
    <n v="1"/>
    <n v="0.90476190476190477"/>
    <n v="81"/>
    <n v="0.29599999999999999"/>
    <n v="9.0300000000000005E-2"/>
  </r>
  <r>
    <x v="7"/>
    <s v="CalWIN"/>
    <x v="8"/>
    <x v="5"/>
    <x v="5"/>
    <s v="2017/18"/>
    <n v="31466"/>
    <n v="62968"/>
    <m/>
    <n v="0.97740112994350281"/>
    <n v="0.97413793103448276"/>
    <n v="13"/>
    <n v="0.308"/>
    <n v="6.0699999999999997E-2"/>
  </r>
  <r>
    <x v="8"/>
    <s v="C-IV"/>
    <x v="8"/>
    <x v="5"/>
    <x v="5"/>
    <s v="2017/18"/>
    <n v="2584"/>
    <n v="5259"/>
    <m/>
    <n v="0.98113207547169812"/>
    <n v="0.93506493506493504"/>
    <n v="81"/>
    <n v="0.29599999999999999"/>
    <n v="9.0300000000000005E-2"/>
  </r>
  <r>
    <x v="9"/>
    <s v="C-IV"/>
    <x v="8"/>
    <x v="5"/>
    <x v="5"/>
    <s v="2017/18"/>
    <n v="6736"/>
    <n v="11873"/>
    <m/>
    <n v="0.99003322259136217"/>
    <n v="0.98734177215189878"/>
    <n v="81"/>
    <n v="0.29599999999999999"/>
    <n v="9.0300000000000005E-2"/>
  </r>
  <r>
    <x v="10"/>
    <s v="CalWIN"/>
    <x v="8"/>
    <x v="5"/>
    <x v="5"/>
    <s v="2017/18"/>
    <n v="88568"/>
    <n v="204520"/>
    <m/>
    <n v="0.95230574857864814"/>
    <n v="0.93431553100061382"/>
    <n v="37"/>
    <n v="0.432"/>
    <n v="4.1300000000000003E-2"/>
  </r>
  <r>
    <x v="11"/>
    <s v="C-IV"/>
    <x v="8"/>
    <x v="5"/>
    <x v="5"/>
    <s v="2017/18"/>
    <n v="1488"/>
    <n v="3427"/>
    <m/>
    <n v="0.96491228070175439"/>
    <n v="0.96969696969696972"/>
    <n v="81"/>
    <n v="0.29599999999999999"/>
    <n v="9.0300000000000005E-2"/>
  </r>
  <r>
    <x v="12"/>
    <s v="C-IV"/>
    <x v="8"/>
    <x v="5"/>
    <x v="5"/>
    <s v="2017/18"/>
    <n v="11960"/>
    <n v="20262"/>
    <m/>
    <n v="0.99530516431924887"/>
    <n v="0.98181818181818181"/>
    <n v="81"/>
    <n v="0.29599999999999999"/>
    <n v="9.0300000000000005E-2"/>
  </r>
  <r>
    <x v="13"/>
    <s v="C-IV"/>
    <x v="8"/>
    <x v="5"/>
    <x v="5"/>
    <s v="2017/18"/>
    <n v="17361"/>
    <n v="42162"/>
    <m/>
    <n v="0.9604221635883905"/>
    <n v="0.92129629629629628"/>
    <n v="81"/>
    <n v="0.29599999999999999"/>
    <n v="9.0300000000000005E-2"/>
  </r>
  <r>
    <x v="14"/>
    <s v="C-IV"/>
    <x v="8"/>
    <x v="5"/>
    <x v="5"/>
    <s v="2017/18"/>
    <n v="1013"/>
    <n v="1952"/>
    <m/>
    <n v="1"/>
    <n v="0.97499999999999998"/>
    <n v="81"/>
    <n v="0.29599999999999999"/>
    <n v="9.0300000000000005E-2"/>
  </r>
  <r>
    <x v="15"/>
    <s v="C-IV"/>
    <x v="8"/>
    <x v="5"/>
    <x v="5"/>
    <s v="2017/18"/>
    <n v="68715"/>
    <n v="158997"/>
    <m/>
    <n v="0.98411243507485491"/>
    <n v="0.93222818137493901"/>
    <n v="19"/>
    <n v="0.21099999999999999"/>
    <n v="1.9400000000000001E-2"/>
  </r>
  <r>
    <x v="16"/>
    <s v="C-IV"/>
    <x v="8"/>
    <x v="5"/>
    <x v="5"/>
    <s v="2017/18"/>
    <n v="10540"/>
    <n v="23600"/>
    <m/>
    <n v="0.99625468164794007"/>
    <n v="0.94100294985250732"/>
    <n v="81"/>
    <n v="0.29599999999999999"/>
    <n v="9.0300000000000005E-2"/>
  </r>
  <r>
    <x v="17"/>
    <s v="C-IV"/>
    <x v="8"/>
    <x v="5"/>
    <x v="5"/>
    <s v="2017/18"/>
    <n v="6385"/>
    <n v="11824"/>
    <m/>
    <n v="0.93174061433447097"/>
    <n v="0.90173410404624277"/>
    <n v="81"/>
    <n v="0.29599999999999999"/>
    <n v="9.0300000000000005E-2"/>
  </r>
  <r>
    <x v="18"/>
    <s v="C-IV"/>
    <x v="8"/>
    <x v="5"/>
    <x v="5"/>
    <s v="2017/18"/>
    <n v="1566"/>
    <n v="3139"/>
    <m/>
    <n v="0.96296296296296302"/>
    <n v="0.8928571428571429"/>
    <n v="81"/>
    <n v="0.29599999999999999"/>
    <n v="9.0300000000000005E-2"/>
  </r>
  <r>
    <x v="19"/>
    <s v="LRS"/>
    <x v="8"/>
    <x v="5"/>
    <x v="5"/>
    <s v="2017/18"/>
    <n v="543966"/>
    <n v="1087433"/>
    <m/>
    <n v="0.98449855654575125"/>
    <n v="0.90756426671919632"/>
    <n v="290"/>
    <n v="0.46899999999999997"/>
    <n v="0.1045"/>
  </r>
  <r>
    <x v="20"/>
    <s v="C-IV"/>
    <x v="8"/>
    <x v="5"/>
    <x v="5"/>
    <s v="2017/18"/>
    <n v="11270"/>
    <n v="27348"/>
    <m/>
    <n v="0.99744897959183676"/>
    <n v="0.99583333333333335"/>
    <n v="81"/>
    <n v="0.29599999999999999"/>
    <n v="9.0300000000000005E-2"/>
  </r>
  <r>
    <x v="21"/>
    <s v="C-IV"/>
    <x v="8"/>
    <x v="5"/>
    <x v="5"/>
    <s v="2017/18"/>
    <n v="5916"/>
    <n v="9809"/>
    <m/>
    <n v="0.9859154929577465"/>
    <n v="0.91847826086956519"/>
    <n v="81"/>
    <n v="0.29599999999999999"/>
    <n v="9.0300000000000005E-2"/>
  </r>
  <r>
    <x v="22"/>
    <s v="C-IV"/>
    <x v="8"/>
    <x v="5"/>
    <x v="5"/>
    <s v="2017/18"/>
    <n v="1031"/>
    <n v="1909"/>
    <m/>
    <n v="0.97777777777777775"/>
    <n v="0.88461538461538458"/>
    <n v="81"/>
    <n v="0.29599999999999999"/>
    <n v="9.0300000000000005E-2"/>
  </r>
  <r>
    <x v="23"/>
    <s v="C-IV"/>
    <x v="8"/>
    <x v="5"/>
    <x v="5"/>
    <s v="2017/18"/>
    <n v="6307"/>
    <n v="11672"/>
    <m/>
    <n v="0.9578651685393258"/>
    <n v="0.94422310756972117"/>
    <n v="81"/>
    <n v="0.29599999999999999"/>
    <n v="9.0300000000000005E-2"/>
  </r>
  <r>
    <x v="24"/>
    <s v="C-IV"/>
    <x v="8"/>
    <x v="5"/>
    <x v="5"/>
    <s v="2017/18"/>
    <n v="23272"/>
    <n v="53792"/>
    <m/>
    <n v="0.95561357702349869"/>
    <n v="0.97175141242937857"/>
    <n v="7"/>
    <n v="0"/>
    <n v="4.1500000000000002E-2"/>
  </r>
  <r>
    <x v="25"/>
    <s v="C-IV"/>
    <x v="8"/>
    <x v="5"/>
    <x v="5"/>
    <s v="2017/18"/>
    <n v="541"/>
    <n v="1160"/>
    <m/>
    <n v="1"/>
    <n v="0.9375"/>
    <n v="81"/>
    <n v="0.29599999999999999"/>
    <n v="9.0300000000000005E-2"/>
  </r>
  <r>
    <x v="26"/>
    <s v="C-IV"/>
    <x v="8"/>
    <x v="5"/>
    <x v="5"/>
    <s v="2017/18"/>
    <n v="398"/>
    <n v="693"/>
    <m/>
    <n v="1"/>
    <n v="0.95"/>
    <n v="81"/>
    <n v="0.29599999999999999"/>
    <n v="9.0300000000000005E-2"/>
  </r>
  <r>
    <x v="27"/>
    <s v="C-IV"/>
    <x v="8"/>
    <x v="5"/>
    <x v="5"/>
    <s v="2017/18"/>
    <n v="19447"/>
    <n v="42443"/>
    <m/>
    <n v="0.99267015706806283"/>
    <n v="0.94117647058823528"/>
    <n v="7"/>
    <n v="0.28599999999999998"/>
    <n v="3.5700000000000003E-2"/>
  </r>
  <r>
    <x v="28"/>
    <s v="C-IV"/>
    <x v="8"/>
    <x v="5"/>
    <x v="5"/>
    <s v="2017/18"/>
    <n v="3067"/>
    <n v="6080"/>
    <m/>
    <n v="0.90833333333333333"/>
    <n v="0.92500000000000004"/>
    <n v="81"/>
    <n v="0.29599999999999999"/>
    <n v="9.0300000000000005E-2"/>
  </r>
  <r>
    <x v="29"/>
    <s v="C-IV"/>
    <x v="8"/>
    <x v="5"/>
    <x v="5"/>
    <s v="2017/18"/>
    <n v="4105"/>
    <n v="7090"/>
    <m/>
    <n v="0.93243243243243246"/>
    <n v="0.82634730538922152"/>
    <n v="81"/>
    <n v="0.29599999999999999"/>
    <n v="9.0300000000000005E-2"/>
  </r>
  <r>
    <x v="30"/>
    <s v="CalWIN"/>
    <x v="8"/>
    <x v="5"/>
    <x v="5"/>
    <s v="2017/18"/>
    <n v="115089"/>
    <n v="232951"/>
    <m/>
    <n v="0.99363192528125666"/>
    <n v="0.99772001823985412"/>
    <n v="44"/>
    <n v="0.36399999999999999"/>
    <n v="6.5699999999999995E-2"/>
  </r>
  <r>
    <x v="31"/>
    <s v="CalWIN"/>
    <x v="8"/>
    <x v="5"/>
    <x v="5"/>
    <s v="2017/18"/>
    <n v="8670"/>
    <n v="16179"/>
    <m/>
    <n v="1"/>
    <n v="0.88584474885844744"/>
    <n v="81"/>
    <n v="0.29599999999999999"/>
    <n v="9.0300000000000005E-2"/>
  </r>
  <r>
    <x v="32"/>
    <s v="C-IV"/>
    <x v="8"/>
    <x v="5"/>
    <x v="5"/>
    <s v="2017/18"/>
    <n v="1097"/>
    <n v="2007"/>
    <m/>
    <n v="0.96842105263157896"/>
    <n v="0.9242424242424242"/>
    <n v="81"/>
    <n v="0.29599999999999999"/>
    <n v="9.0300000000000005E-2"/>
  </r>
  <r>
    <x v="33"/>
    <s v="C-IV"/>
    <x v="8"/>
    <x v="5"/>
    <x v="5"/>
    <s v="2017/18"/>
    <n v="122740"/>
    <n v="271114"/>
    <m/>
    <n v="0.99532289980212263"/>
    <n v="0.91362467866323904"/>
    <n v="36"/>
    <n v="0.30599999999999999"/>
    <n v="4.3499999999999997E-2"/>
  </r>
  <r>
    <x v="34"/>
    <s v="CalWIN"/>
    <x v="8"/>
    <x v="5"/>
    <x v="5"/>
    <s v="2017/18"/>
    <n v="98208"/>
    <n v="205556"/>
    <m/>
    <n v="0.99407979407979408"/>
    <n v="0.99211770888071471"/>
    <n v="40"/>
    <n v="0.47499999999999998"/>
    <n v="3.8600000000000002E-2"/>
  </r>
  <r>
    <x v="35"/>
    <s v="C-IV"/>
    <x v="8"/>
    <x v="5"/>
    <x v="5"/>
    <s v="2017/18"/>
    <n v="2121"/>
    <n v="4700"/>
    <m/>
    <n v="0.978494623655914"/>
    <n v="0.95522388059701491"/>
    <n v="81"/>
    <n v="0.29599999999999999"/>
    <n v="9.0300000000000005E-2"/>
  </r>
  <r>
    <x v="36"/>
    <s v="C-IV"/>
    <x v="8"/>
    <x v="5"/>
    <x v="5"/>
    <s v="2017/18"/>
    <n v="165648"/>
    <n v="361295"/>
    <m/>
    <n v="0.9892054725743693"/>
    <n v="0.93710691823899372"/>
    <n v="48"/>
    <n v="0.25"/>
    <n v="3.78E-2"/>
  </r>
  <r>
    <x v="37"/>
    <s v="CalWIN"/>
    <x v="8"/>
    <x v="5"/>
    <x v="5"/>
    <s v="2017/18"/>
    <n v="133646"/>
    <n v="268127"/>
    <m/>
    <n v="0.97422844416162901"/>
    <n v="0.95580808080808077"/>
    <n v="62"/>
    <n v="0.435"/>
    <n v="2.8899999999999999E-2"/>
  </r>
  <r>
    <x v="38"/>
    <s v="CalWIN"/>
    <x v="8"/>
    <x v="5"/>
    <x v="5"/>
    <s v="2017/18"/>
    <n v="33923"/>
    <n v="50864"/>
    <m/>
    <n v="0.98502139800285304"/>
    <n v="0.86911764705882355"/>
    <n v="11"/>
    <n v="0.36399999999999999"/>
    <n v="7.9299999999999995E-2"/>
  </r>
  <r>
    <x v="39"/>
    <s v="C-IV"/>
    <x v="8"/>
    <x v="5"/>
    <x v="5"/>
    <s v="2017/18"/>
    <n v="47781"/>
    <n v="105787"/>
    <m/>
    <n v="0.97793326157158234"/>
    <n v="0.91082251082251087"/>
    <n v="14"/>
    <n v="7.0999999999999994E-2"/>
    <n v="3.7400000000000003E-2"/>
  </r>
  <r>
    <x v="40"/>
    <s v="CalWIN"/>
    <x v="8"/>
    <x v="5"/>
    <x v="5"/>
    <s v="2017/18"/>
    <n v="9396"/>
    <n v="16600"/>
    <m/>
    <n v="0.98399999999999999"/>
    <n v="0.96595744680851059"/>
    <n v="81"/>
    <n v="0.29599999999999999"/>
    <n v="9.0300000000000005E-2"/>
  </r>
  <r>
    <x v="41"/>
    <s v="CalWIN"/>
    <x v="8"/>
    <x v="5"/>
    <x v="5"/>
    <s v="2017/18"/>
    <n v="13291"/>
    <n v="25375"/>
    <m/>
    <n v="0.97687861271676302"/>
    <n v="0.87687687687687688"/>
    <n v="81"/>
    <n v="0.29599999999999999"/>
    <n v="9.0300000000000005E-2"/>
  </r>
  <r>
    <x v="42"/>
    <s v="CalWIN"/>
    <x v="8"/>
    <x v="5"/>
    <x v="5"/>
    <s v="2017/18"/>
    <n v="18061"/>
    <n v="36432"/>
    <m/>
    <n v="0.95864262990455995"/>
    <n v="0.91772151898734178"/>
    <n v="81"/>
    <n v="0.29599999999999999"/>
    <n v="9.0300000000000005E-2"/>
  </r>
  <r>
    <x v="43"/>
    <s v="CalWIN"/>
    <x v="8"/>
    <x v="5"/>
    <x v="5"/>
    <s v="2017/18"/>
    <n v="46440"/>
    <n v="90030"/>
    <m/>
    <n v="0.98598654708520184"/>
    <n v="0.97938144329896903"/>
    <n v="16"/>
    <n v="0.375"/>
    <n v="5.11E-2"/>
  </r>
  <r>
    <x v="44"/>
    <s v="CalWIN"/>
    <x v="8"/>
    <x v="5"/>
    <x v="5"/>
    <s v="2017/18"/>
    <n v="14023"/>
    <n v="24863"/>
    <m/>
    <n v="0.982421875"/>
    <n v="0.97674418604651159"/>
    <n v="81"/>
    <n v="0.29599999999999999"/>
    <n v="9.0300000000000005E-2"/>
  </r>
  <r>
    <x v="45"/>
    <s v="C-IV"/>
    <x v="8"/>
    <x v="5"/>
    <x v="5"/>
    <s v="2017/18"/>
    <n v="12332"/>
    <n v="23186"/>
    <m/>
    <n v="0.94921190893169882"/>
    <n v="0.95781637717121593"/>
    <n v="81"/>
    <n v="0.29599999999999999"/>
    <n v="9.0300000000000005E-2"/>
  </r>
  <r>
    <x v="46"/>
    <s v="C-IV"/>
    <x v="8"/>
    <x v="5"/>
    <x v="5"/>
    <s v="2017/18"/>
    <n v="154"/>
    <n v="259"/>
    <m/>
    <n v="1"/>
    <n v="1"/>
    <n v="81"/>
    <n v="0.29599999999999999"/>
    <n v="9.0300000000000005E-2"/>
  </r>
  <r>
    <x v="47"/>
    <s v="C-IV"/>
    <x v="8"/>
    <x v="5"/>
    <x v="5"/>
    <s v="2017/18"/>
    <n v="3050"/>
    <n v="6256"/>
    <m/>
    <n v="0.97619047619047616"/>
    <n v="0.86315789473684212"/>
    <n v="81"/>
    <n v="0.29599999999999999"/>
    <n v="9.0300000000000005E-2"/>
  </r>
  <r>
    <x v="48"/>
    <s v="CalWIN"/>
    <x v="8"/>
    <x v="5"/>
    <x v="5"/>
    <s v="2017/18"/>
    <n v="20949"/>
    <n v="39407"/>
    <m/>
    <n v="0.97636815920398012"/>
    <n v="0.9688249400479616"/>
    <n v="8"/>
    <n v="0.5"/>
    <n v="5.7999999999999996E-3"/>
  </r>
  <r>
    <x v="49"/>
    <s v="CalWIN"/>
    <x v="8"/>
    <x v="5"/>
    <x v="5"/>
    <s v="2017/18"/>
    <n v="17167"/>
    <n v="30001"/>
    <m/>
    <n v="0.98064516129032253"/>
    <n v="0.87267904509283822"/>
    <n v="81"/>
    <n v="0.29599999999999999"/>
    <n v="9.0300000000000005E-2"/>
  </r>
  <r>
    <x v="50"/>
    <s v="C-IV"/>
    <x v="8"/>
    <x v="5"/>
    <x v="5"/>
    <s v="2017/18"/>
    <n v="39239"/>
    <n v="81885"/>
    <m/>
    <n v="0.97997711670480547"/>
    <n v="0.93644067796610164"/>
    <n v="10"/>
    <n v="0.6"/>
    <n v="4.2700000000000002E-2"/>
  </r>
  <r>
    <x v="51"/>
    <s v="C-IV"/>
    <x v="8"/>
    <x v="5"/>
    <x v="5"/>
    <s v="2017/18"/>
    <n v="5361"/>
    <n v="12250"/>
    <m/>
    <n v="0.97101449275362317"/>
    <n v="0.92814371257485029"/>
    <n v="81"/>
    <n v="0.29599999999999999"/>
    <n v="9.0300000000000005E-2"/>
  </r>
  <r>
    <x v="52"/>
    <s v="C-IV"/>
    <x v="8"/>
    <x v="5"/>
    <x v="5"/>
    <s v="2017/18"/>
    <n v="4246"/>
    <n v="8963"/>
    <m/>
    <n v="0.96153846153846156"/>
    <n v="0.94696969696969702"/>
    <n v="81"/>
    <n v="0.29599999999999999"/>
    <n v="9.0300000000000005E-2"/>
  </r>
  <r>
    <x v="53"/>
    <s v="C-IV"/>
    <x v="8"/>
    <x v="5"/>
    <x v="5"/>
    <s v="2017/18"/>
    <n v="971"/>
    <n v="1691"/>
    <m/>
    <n v="0.98181818181818181"/>
    <n v="0.71739130434782605"/>
    <n v="81"/>
    <n v="0.29599999999999999"/>
    <n v="9.0300000000000005E-2"/>
  </r>
  <r>
    <x v="54"/>
    <s v="CalWIN"/>
    <x v="8"/>
    <x v="5"/>
    <x v="5"/>
    <s v="2017/18"/>
    <n v="50655"/>
    <n v="117113"/>
    <m/>
    <n v="0.92569832402234642"/>
    <n v="0.84"/>
    <n v="16"/>
    <n v="0.438"/>
    <n v="4.2500000000000003E-2"/>
  </r>
  <r>
    <x v="55"/>
    <s v="C-IV"/>
    <x v="8"/>
    <x v="5"/>
    <x v="5"/>
    <s v="2017/18"/>
    <n v="2734"/>
    <n v="4770"/>
    <m/>
    <n v="0.95774647887323949"/>
    <n v="0.97727272727272729"/>
    <n v="81"/>
    <n v="0.29599999999999999"/>
    <n v="9.0300000000000005E-2"/>
  </r>
  <r>
    <x v="56"/>
    <s v="CalWIN"/>
    <x v="8"/>
    <x v="5"/>
    <x v="5"/>
    <s v="2017/18"/>
    <n v="34650"/>
    <n v="68571"/>
    <m/>
    <n v="0.9838709677419355"/>
    <n v="0.9632183908045977"/>
    <n v="15"/>
    <n v="0.13300000000000001"/>
    <n v="5.7599999999999998E-2"/>
  </r>
  <r>
    <x v="57"/>
    <s v="CalWIN"/>
    <x v="8"/>
    <x v="5"/>
    <x v="5"/>
    <s v="2017/18"/>
    <n v="9726"/>
    <n v="18467"/>
    <m/>
    <n v="0.92307692307692313"/>
    <n v="0.94716981132075473"/>
    <n v="81"/>
    <n v="0.29599999999999999"/>
    <n v="9.0300000000000005E-2"/>
  </r>
  <r>
    <x v="58"/>
    <s v="C-IV"/>
    <x v="8"/>
    <x v="5"/>
    <x v="5"/>
    <s v="2017/18"/>
    <n v="6002"/>
    <n v="13022"/>
    <m/>
    <n v="0.98648648648648651"/>
    <n v="0.98222222222222222"/>
    <n v="81"/>
    <n v="0.29599999999999999"/>
    <n v="9.0300000000000005E-2"/>
  </r>
  <r>
    <x v="0"/>
    <s v="n/a"/>
    <x v="9"/>
    <x v="5"/>
    <x v="6"/>
    <s v="2017/18"/>
    <n v="1992771"/>
    <n v="4089272"/>
    <m/>
    <n v="0.97983968399046084"/>
    <n v="0.92775324069086862"/>
    <n v="56"/>
    <n v="0.375"/>
    <n v="0.1077"/>
  </r>
  <r>
    <x v="1"/>
    <s v="CalWIN"/>
    <x v="9"/>
    <x v="5"/>
    <x v="6"/>
    <s v="2017/18"/>
    <n v="57502"/>
    <n v="107669"/>
    <m/>
    <s v="n/a"/>
    <s v="n/a"/>
    <n v="1"/>
    <n v="1"/>
    <n v="7.7999999999999996E-3"/>
  </r>
  <r>
    <x v="2"/>
    <s v="C-IV"/>
    <x v="9"/>
    <x v="5"/>
    <x v="6"/>
    <s v="2017/18"/>
    <n v="79"/>
    <n v="144"/>
    <m/>
    <n v="1"/>
    <s v="n/a"/>
    <n v="3"/>
    <n v="0.66700000000000004"/>
    <n v="0.40620000000000001"/>
  </r>
  <r>
    <x v="3"/>
    <s v="C-IV"/>
    <x v="9"/>
    <x v="5"/>
    <x v="6"/>
    <s v="2017/18"/>
    <n v="1648"/>
    <n v="3003"/>
    <m/>
    <n v="0.97333333333333338"/>
    <n v="1"/>
    <n v="3"/>
    <n v="0.66700000000000004"/>
    <n v="0.40620000000000001"/>
  </r>
  <r>
    <x v="4"/>
    <s v="C-IV"/>
    <x v="9"/>
    <x v="5"/>
    <x v="6"/>
    <s v="2017/18"/>
    <n v="16660"/>
    <n v="30804"/>
    <m/>
    <n v="0.8738839285714286"/>
    <n v="0.92172523961661346"/>
    <n v="3"/>
    <n v="0.66700000000000004"/>
    <n v="0.40620000000000001"/>
  </r>
  <r>
    <x v="5"/>
    <s v="C-IV"/>
    <x v="9"/>
    <x v="5"/>
    <x v="6"/>
    <s v="2017/18"/>
    <n v="2783"/>
    <n v="4982"/>
    <m/>
    <n v="0.98230088495575218"/>
    <n v="0.92307692307692313"/>
    <n v="3"/>
    <n v="0.66700000000000004"/>
    <n v="0.40620000000000001"/>
  </r>
  <r>
    <x v="6"/>
    <s v="C-IV"/>
    <x v="9"/>
    <x v="5"/>
    <x v="6"/>
    <s v="2017/18"/>
    <n v="685"/>
    <n v="1492"/>
    <m/>
    <n v="0.94285714285714284"/>
    <n v="0.875"/>
    <n v="3"/>
    <n v="0.66700000000000004"/>
    <n v="0.40620000000000001"/>
  </r>
  <r>
    <x v="7"/>
    <s v="CalWIN"/>
    <x v="9"/>
    <x v="5"/>
    <x v="6"/>
    <s v="2017/18"/>
    <n v="31852"/>
    <n v="63270"/>
    <m/>
    <n v="0.97813288477712368"/>
    <n v="0.97755102040816322"/>
    <n v="1"/>
    <n v="0"/>
    <n v="3.1800000000000002E-2"/>
  </r>
  <r>
    <x v="8"/>
    <s v="C-IV"/>
    <x v="9"/>
    <x v="5"/>
    <x v="6"/>
    <s v="2017/18"/>
    <n v="2602"/>
    <n v="5268"/>
    <m/>
    <n v="1"/>
    <n v="0.95348837209302328"/>
    <n v="3"/>
    <n v="0.66700000000000004"/>
    <n v="0.40620000000000001"/>
  </r>
  <r>
    <x v="9"/>
    <s v="C-IV"/>
    <x v="9"/>
    <x v="5"/>
    <x v="6"/>
    <s v="2017/18"/>
    <n v="6685"/>
    <n v="11742"/>
    <m/>
    <n v="0.97740112994350281"/>
    <n v="0.98523985239852396"/>
    <n v="3"/>
    <n v="0.66700000000000004"/>
    <n v="0.40620000000000001"/>
  </r>
  <r>
    <x v="10"/>
    <s v="CalWIN"/>
    <x v="9"/>
    <x v="5"/>
    <x v="6"/>
    <s v="2017/18"/>
    <n v="88731"/>
    <n v="204699"/>
    <m/>
    <n v="0.96466721446179127"/>
    <n v="0.95012987012987016"/>
    <n v="3"/>
    <n v="0"/>
    <n v="5.7299999999999997E-2"/>
  </r>
  <r>
    <x v="11"/>
    <s v="C-IV"/>
    <x v="9"/>
    <x v="5"/>
    <x v="6"/>
    <s v="2017/18"/>
    <n v="1487"/>
    <n v="3404"/>
    <m/>
    <n v="0.98571428571428577"/>
    <n v="1"/>
    <n v="3"/>
    <n v="0.66700000000000004"/>
    <n v="0.40620000000000001"/>
  </r>
  <r>
    <x v="12"/>
    <s v="C-IV"/>
    <x v="9"/>
    <x v="5"/>
    <x v="6"/>
    <s v="2017/18"/>
    <n v="11949"/>
    <n v="20116"/>
    <m/>
    <n v="0.95652173913043481"/>
    <n v="0.96860986547085204"/>
    <n v="3"/>
    <n v="0.66700000000000004"/>
    <n v="0.40620000000000001"/>
  </r>
  <r>
    <x v="13"/>
    <s v="C-IV"/>
    <x v="9"/>
    <x v="5"/>
    <x v="6"/>
    <s v="2017/18"/>
    <n v="17402"/>
    <n v="42152"/>
    <m/>
    <n v="0.9813829787234043"/>
    <n v="0.95424836601307195"/>
    <n v="3"/>
    <n v="0.66700000000000004"/>
    <n v="0.40620000000000001"/>
  </r>
  <r>
    <x v="14"/>
    <s v="C-IV"/>
    <x v="9"/>
    <x v="5"/>
    <x v="6"/>
    <s v="2017/18"/>
    <n v="998"/>
    <n v="1915"/>
    <m/>
    <n v="0.97560975609756095"/>
    <n v="0.94444444444444442"/>
    <n v="3"/>
    <n v="0.66700000000000004"/>
    <n v="0.40620000000000001"/>
  </r>
  <r>
    <x v="15"/>
    <s v="C-IV"/>
    <x v="9"/>
    <x v="5"/>
    <x v="6"/>
    <s v="2017/18"/>
    <n v="68617"/>
    <n v="157975"/>
    <m/>
    <n v="0.9884710403513588"/>
    <n v="0.93956953642384111"/>
    <n v="2"/>
    <n v="0.5"/>
    <n v="5.0200000000000002E-2"/>
  </r>
  <r>
    <x v="16"/>
    <s v="C-IV"/>
    <x v="9"/>
    <x v="5"/>
    <x v="6"/>
    <s v="2017/18"/>
    <n v="10523"/>
    <n v="23482"/>
    <m/>
    <n v="0.99464285714285716"/>
    <n v="0.9338422391857506"/>
    <n v="3"/>
    <n v="0.66700000000000004"/>
    <n v="0.40620000000000001"/>
  </r>
  <r>
    <x v="17"/>
    <s v="C-IV"/>
    <x v="9"/>
    <x v="5"/>
    <x v="6"/>
    <s v="2017/18"/>
    <n v="6578"/>
    <n v="12174"/>
    <m/>
    <n v="0.91481481481481486"/>
    <n v="0.85093167701863359"/>
    <n v="3"/>
    <n v="0.66700000000000004"/>
    <n v="0.40620000000000001"/>
  </r>
  <r>
    <x v="18"/>
    <s v="C-IV"/>
    <x v="9"/>
    <x v="5"/>
    <x v="6"/>
    <s v="2017/18"/>
    <n v="1511"/>
    <n v="3043"/>
    <m/>
    <n v="0.93243243243243246"/>
    <n v="0.81132075471698117"/>
    <n v="3"/>
    <n v="0.66700000000000004"/>
    <n v="0.40620000000000001"/>
  </r>
  <r>
    <x v="19"/>
    <s v="LRS"/>
    <x v="9"/>
    <x v="5"/>
    <x v="6"/>
    <s v="2017/18"/>
    <n v="550197"/>
    <n v="1095403"/>
    <m/>
    <n v="0.98732853540013532"/>
    <n v="0.90461919033347604"/>
    <n v="18"/>
    <n v="0.44400000000000001"/>
    <n v="6.3E-2"/>
  </r>
  <r>
    <x v="20"/>
    <s v="C-IV"/>
    <x v="9"/>
    <x v="5"/>
    <x v="6"/>
    <s v="2017/18"/>
    <n v="11211"/>
    <n v="27187"/>
    <m/>
    <n v="0.99530516431924887"/>
    <n v="0.98007968127490042"/>
    <n v="3"/>
    <n v="0.66700000000000004"/>
    <n v="0.40620000000000001"/>
  </r>
  <r>
    <x v="21"/>
    <s v="C-IV"/>
    <x v="9"/>
    <x v="5"/>
    <x v="6"/>
    <s v="2017/18"/>
    <n v="5943"/>
    <n v="9818"/>
    <m/>
    <n v="0.96644295302013428"/>
    <n v="0.93048128342245995"/>
    <n v="3"/>
    <n v="0.66700000000000004"/>
    <n v="0.40620000000000001"/>
  </r>
  <r>
    <x v="22"/>
    <s v="C-IV"/>
    <x v="9"/>
    <x v="5"/>
    <x v="6"/>
    <s v="2017/18"/>
    <n v="1023"/>
    <n v="1887"/>
    <m/>
    <n v="0.97142857142857142"/>
    <n v="0.95"/>
    <n v="3"/>
    <n v="0.66700000000000004"/>
    <n v="0.40620000000000001"/>
  </r>
  <r>
    <x v="23"/>
    <s v="C-IV"/>
    <x v="9"/>
    <x v="5"/>
    <x v="6"/>
    <s v="2017/18"/>
    <n v="6400"/>
    <n v="11831"/>
    <m/>
    <n v="0.95216400911161736"/>
    <n v="0.91228070175438591"/>
    <n v="3"/>
    <n v="0.66700000000000004"/>
    <n v="0.40620000000000001"/>
  </r>
  <r>
    <x v="24"/>
    <s v="C-IV"/>
    <x v="9"/>
    <x v="5"/>
    <x v="6"/>
    <s v="2017/18"/>
    <n v="23196"/>
    <n v="53463"/>
    <m/>
    <n v="0.97008547008547008"/>
    <n v="0.96417445482866049"/>
    <n v="1"/>
    <n v="1"/>
    <n v="2.9100000000000001E-2"/>
  </r>
  <r>
    <x v="25"/>
    <s v="C-IV"/>
    <x v="9"/>
    <x v="5"/>
    <x v="6"/>
    <s v="2017/18"/>
    <n v="556"/>
    <n v="1169"/>
    <m/>
    <n v="0.97297297297297303"/>
    <n v="0.93103448275862066"/>
    <n v="3"/>
    <n v="0.66700000000000004"/>
    <n v="0.40620000000000001"/>
  </r>
  <r>
    <x v="26"/>
    <s v="C-IV"/>
    <x v="9"/>
    <x v="5"/>
    <x v="6"/>
    <s v="2017/18"/>
    <n v="413"/>
    <n v="703"/>
    <m/>
    <n v="1"/>
    <n v="0.93548387096774188"/>
    <n v="3"/>
    <n v="0.66700000000000004"/>
    <n v="0.40620000000000001"/>
  </r>
  <r>
    <x v="27"/>
    <s v="C-IV"/>
    <x v="9"/>
    <x v="5"/>
    <x v="6"/>
    <s v="2017/18"/>
    <n v="19155"/>
    <n v="41620"/>
    <m/>
    <n v="0.98764342453662846"/>
    <n v="0.95245901639344266"/>
    <n v="1"/>
    <n v="0"/>
    <n v="3.6600000000000001E-2"/>
  </r>
  <r>
    <x v="28"/>
    <s v="C-IV"/>
    <x v="9"/>
    <x v="5"/>
    <x v="6"/>
    <s v="2017/18"/>
    <n v="3090"/>
    <n v="6222"/>
    <m/>
    <n v="0.90677966101694918"/>
    <n v="0.89552238805970152"/>
    <n v="3"/>
    <n v="0.66700000000000004"/>
    <n v="0.40620000000000001"/>
  </r>
  <r>
    <x v="29"/>
    <s v="C-IV"/>
    <x v="9"/>
    <x v="5"/>
    <x v="6"/>
    <s v="2017/18"/>
    <n v="4107"/>
    <n v="7079"/>
    <m/>
    <n v="0.89047619047619042"/>
    <n v="0.81690140845070425"/>
    <n v="3"/>
    <n v="0.66700000000000004"/>
    <n v="0.40620000000000001"/>
  </r>
  <r>
    <x v="30"/>
    <s v="CalWIN"/>
    <x v="9"/>
    <x v="5"/>
    <x v="6"/>
    <s v="2017/18"/>
    <n v="115302"/>
    <n v="231950"/>
    <m/>
    <n v="0.99254526091586792"/>
    <n v="0.99911738746690204"/>
    <n v="3"/>
    <n v="0.33300000000000002"/>
    <n v="3.8600000000000002E-2"/>
  </r>
  <r>
    <x v="31"/>
    <s v="CalWIN"/>
    <x v="9"/>
    <x v="5"/>
    <x v="6"/>
    <s v="2017/18"/>
    <n v="8593"/>
    <n v="17608"/>
    <m/>
    <n v="1"/>
    <n v="0.90256410256410258"/>
    <n v="3"/>
    <n v="0.66700000000000004"/>
    <n v="0.40620000000000001"/>
  </r>
  <r>
    <x v="32"/>
    <s v="C-IV"/>
    <x v="9"/>
    <x v="5"/>
    <x v="6"/>
    <s v="2017/18"/>
    <n v="1139"/>
    <n v="2030"/>
    <m/>
    <n v="0.97297297297297303"/>
    <n v="1"/>
    <n v="3"/>
    <n v="0.66700000000000004"/>
    <n v="0.40620000000000001"/>
  </r>
  <r>
    <x v="33"/>
    <s v="C-IV"/>
    <x v="9"/>
    <x v="5"/>
    <x v="6"/>
    <s v="2017/18"/>
    <n v="122806"/>
    <n v="270567"/>
    <m/>
    <n v="0.98828394210889037"/>
    <n v="0.89963280293757653"/>
    <n v="3"/>
    <n v="0.33300000000000002"/>
    <n v="5.33E-2"/>
  </r>
  <r>
    <x v="34"/>
    <s v="CalWIN"/>
    <x v="9"/>
    <x v="5"/>
    <x v="6"/>
    <s v="2017/18"/>
    <n v="97936"/>
    <n v="204329"/>
    <m/>
    <n v="0.99543869063590018"/>
    <n v="0.99299191374663076"/>
    <n v="3"/>
    <n v="0.33300000000000002"/>
    <n v="3.73E-2"/>
  </r>
  <r>
    <x v="35"/>
    <s v="C-IV"/>
    <x v="9"/>
    <x v="5"/>
    <x v="6"/>
    <s v="2017/18"/>
    <n v="2129"/>
    <n v="4710"/>
    <m/>
    <n v="0.91269841269841268"/>
    <n v="0.9285714285714286"/>
    <n v="3"/>
    <n v="0.66700000000000004"/>
    <n v="0.40620000000000001"/>
  </r>
  <r>
    <x v="36"/>
    <s v="C-IV"/>
    <x v="9"/>
    <x v="5"/>
    <x v="6"/>
    <s v="2017/18"/>
    <n v="165353"/>
    <n v="359372"/>
    <m/>
    <n v="0.99355839198377671"/>
    <n v="0.9447819871336669"/>
    <n v="4"/>
    <n v="0.25"/>
    <n v="2.69E-2"/>
  </r>
  <r>
    <x v="37"/>
    <s v="CalWIN"/>
    <x v="9"/>
    <x v="5"/>
    <x v="6"/>
    <s v="2017/18"/>
    <n v="134449"/>
    <n v="268458"/>
    <m/>
    <n v="0.97419741974197416"/>
    <n v="0.95592823712948516"/>
    <n v="5"/>
    <n v="0.2"/>
    <n v="1.47E-2"/>
  </r>
  <r>
    <x v="38"/>
    <s v="CalWIN"/>
    <x v="9"/>
    <x v="5"/>
    <x v="6"/>
    <s v="2017/18"/>
    <n v="34061"/>
    <n v="50846"/>
    <m/>
    <n v="0.97461589846359387"/>
    <n v="0.86899563318777295"/>
    <n v="0"/>
    <n v="0"/>
    <n v="8.0399999999999999E-2"/>
  </r>
  <r>
    <x v="39"/>
    <s v="C-IV"/>
    <x v="9"/>
    <x v="5"/>
    <x v="6"/>
    <s v="2017/18"/>
    <n v="47501"/>
    <n v="104759"/>
    <m/>
    <n v="0.98239254272397725"/>
    <n v="0.92067307692307687"/>
    <n v="2"/>
    <n v="0.5"/>
    <n v="0"/>
  </r>
  <r>
    <x v="40"/>
    <s v="CalWIN"/>
    <x v="9"/>
    <x v="5"/>
    <x v="6"/>
    <s v="2017/18"/>
    <n v="9423"/>
    <n v="16564"/>
    <m/>
    <n v="0.97692307692307689"/>
    <n v="0.94871794871794868"/>
    <n v="3"/>
    <n v="0.66700000000000004"/>
    <n v="0.40620000000000001"/>
  </r>
  <r>
    <x v="41"/>
    <s v="CalWIN"/>
    <x v="9"/>
    <x v="5"/>
    <x v="6"/>
    <s v="2017/18"/>
    <n v="13306"/>
    <n v="25396"/>
    <m/>
    <n v="0.99439252336448603"/>
    <n v="0.87687687687687688"/>
    <n v="3"/>
    <n v="0.66700000000000004"/>
    <n v="0.40620000000000001"/>
  </r>
  <r>
    <x v="42"/>
    <s v="CalWIN"/>
    <x v="9"/>
    <x v="5"/>
    <x v="6"/>
    <s v="2017/18"/>
    <n v="18410"/>
    <n v="36620"/>
    <m/>
    <n v="0.94405043341213557"/>
    <n v="0.88854489164086692"/>
    <n v="3"/>
    <n v="0.66700000000000004"/>
    <n v="0.40620000000000001"/>
  </r>
  <r>
    <x v="43"/>
    <s v="CalWIN"/>
    <x v="9"/>
    <x v="5"/>
    <x v="6"/>
    <s v="2017/18"/>
    <n v="46314"/>
    <n v="89521"/>
    <m/>
    <n v="0.99179366940211022"/>
    <n v="0.97431192660550459"/>
    <n v="1"/>
    <n v="1"/>
    <n v="0.1055"/>
  </r>
  <r>
    <x v="44"/>
    <s v="CalWIN"/>
    <x v="9"/>
    <x v="5"/>
    <x v="6"/>
    <s v="2017/18"/>
    <n v="13982"/>
    <n v="24693"/>
    <m/>
    <n v="0.98141891891891897"/>
    <n v="0.93939393939393945"/>
    <n v="3"/>
    <n v="0.66700000000000004"/>
    <n v="0.40620000000000001"/>
  </r>
  <r>
    <x v="45"/>
    <s v="C-IV"/>
    <x v="9"/>
    <x v="5"/>
    <x v="6"/>
    <s v="2017/18"/>
    <n v="12297"/>
    <n v="23035"/>
    <m/>
    <n v="0.94233937397034595"/>
    <n v="0.96803652968036524"/>
    <n v="3"/>
    <n v="0.66700000000000004"/>
    <n v="0.40620000000000001"/>
  </r>
  <r>
    <x v="46"/>
    <s v="C-IV"/>
    <x v="9"/>
    <x v="5"/>
    <x v="6"/>
    <s v="2017/18"/>
    <n v="159"/>
    <n v="273"/>
    <m/>
    <n v="1"/>
    <n v="0.4"/>
    <n v="3"/>
    <n v="0.66700000000000004"/>
    <n v="0.40620000000000001"/>
  </r>
  <r>
    <x v="47"/>
    <s v="C-IV"/>
    <x v="9"/>
    <x v="5"/>
    <x v="6"/>
    <s v="2017/18"/>
    <n v="3070"/>
    <n v="6252"/>
    <m/>
    <n v="0.97590361445783136"/>
    <n v="0.88495575221238942"/>
    <n v="3"/>
    <n v="0.66700000000000004"/>
    <n v="0.40620000000000001"/>
  </r>
  <r>
    <x v="48"/>
    <s v="CalWIN"/>
    <x v="9"/>
    <x v="5"/>
    <x v="6"/>
    <s v="2017/18"/>
    <n v="20972"/>
    <n v="39184"/>
    <m/>
    <n v="0.97503285151116947"/>
    <n v="0.96186440677966101"/>
    <n v="1"/>
    <n v="0"/>
    <n v="0"/>
  </r>
  <r>
    <x v="49"/>
    <s v="CalWIN"/>
    <x v="9"/>
    <x v="5"/>
    <x v="6"/>
    <s v="2017/18"/>
    <n v="17685"/>
    <n v="33138"/>
    <m/>
    <n v="0.96666666666666667"/>
    <n v="0.734006734006734"/>
    <n v="3"/>
    <n v="0.66700000000000004"/>
    <n v="0.40620000000000001"/>
  </r>
  <r>
    <x v="50"/>
    <s v="C-IV"/>
    <x v="9"/>
    <x v="5"/>
    <x v="6"/>
    <s v="2017/18"/>
    <n v="39064"/>
    <n v="81180"/>
    <m/>
    <n v="0.97713663581927057"/>
    <n v="0.9513776337115073"/>
    <n v="1"/>
    <n v="1"/>
    <n v="1.6E-2"/>
  </r>
  <r>
    <x v="51"/>
    <s v="C-IV"/>
    <x v="9"/>
    <x v="5"/>
    <x v="6"/>
    <s v="2017/18"/>
    <n v="5303"/>
    <n v="12101"/>
    <m/>
    <n v="0.98445595854922274"/>
    <n v="0.91719745222929938"/>
    <n v="3"/>
    <n v="0.66700000000000004"/>
    <n v="0.40620000000000001"/>
  </r>
  <r>
    <x v="52"/>
    <s v="C-IV"/>
    <x v="9"/>
    <x v="5"/>
    <x v="6"/>
    <s v="2017/18"/>
    <n v="4208"/>
    <n v="9010"/>
    <m/>
    <n v="0.97701149425287359"/>
    <n v="0.97457627118644063"/>
    <n v="3"/>
    <n v="0.66700000000000004"/>
    <n v="0.40620000000000001"/>
  </r>
  <r>
    <x v="53"/>
    <s v="C-IV"/>
    <x v="9"/>
    <x v="5"/>
    <x v="6"/>
    <s v="2017/18"/>
    <n v="974"/>
    <n v="1705"/>
    <m/>
    <n v="1"/>
    <n v="0.72093023255813948"/>
    <n v="3"/>
    <n v="0.66700000000000004"/>
    <n v="0.40620000000000001"/>
  </r>
  <r>
    <x v="54"/>
    <s v="CalWIN"/>
    <x v="9"/>
    <x v="5"/>
    <x v="6"/>
    <s v="2017/18"/>
    <n v="51237"/>
    <n v="117227"/>
    <m/>
    <n v="0.9051610057344508"/>
    <n v="0.875"/>
    <n v="2"/>
    <n v="0"/>
    <n v="3.56E-2"/>
  </r>
  <r>
    <x v="55"/>
    <s v="C-IV"/>
    <x v="9"/>
    <x v="5"/>
    <x v="6"/>
    <s v="2017/18"/>
    <n v="2737"/>
    <n v="4800"/>
    <m/>
    <n v="0.971830985915493"/>
    <n v="0.94680851063829785"/>
    <n v="3"/>
    <n v="0.66700000000000004"/>
    <n v="0.40620000000000001"/>
  </r>
  <r>
    <x v="56"/>
    <s v="CalWIN"/>
    <x v="9"/>
    <x v="5"/>
    <x v="6"/>
    <s v="2017/18"/>
    <n v="34846"/>
    <n v="68759"/>
    <m/>
    <n v="0.98827208756841278"/>
    <n v="0.96953210010881397"/>
    <n v="1"/>
    <n v="0"/>
    <n v="5.0500000000000003E-2"/>
  </r>
  <r>
    <x v="57"/>
    <s v="CalWIN"/>
    <x v="9"/>
    <x v="5"/>
    <x v="6"/>
    <s v="2017/18"/>
    <n v="9918"/>
    <n v="18541"/>
    <m/>
    <n v="0.84379785604900459"/>
    <n v="0.95041322314049592"/>
    <n v="3"/>
    <n v="0.66700000000000004"/>
    <n v="0.40620000000000001"/>
  </r>
  <r>
    <x v="58"/>
    <s v="C-IV"/>
    <x v="9"/>
    <x v="5"/>
    <x v="6"/>
    <s v="2017/18"/>
    <n v="6014"/>
    <n v="12928"/>
    <m/>
    <n v="0.99344262295081964"/>
    <n v="0.98689956331877726"/>
    <n v="3"/>
    <n v="0.66700000000000004"/>
    <n v="0.40620000000000001"/>
  </r>
  <r>
    <x v="0"/>
    <s v="n/a"/>
    <x v="10"/>
    <x v="5"/>
    <x v="6"/>
    <s v="2017/18"/>
    <n v="1984163"/>
    <n v="4072212"/>
    <m/>
    <n v="0.97550913496169211"/>
    <n v="0.92604160751131048"/>
    <m/>
    <m/>
    <m/>
  </r>
  <r>
    <x v="1"/>
    <s v="CalWIN"/>
    <x v="10"/>
    <x v="5"/>
    <x v="6"/>
    <s v="2017/18"/>
    <n v="56882"/>
    <n v="106861"/>
    <m/>
    <s v="n/a"/>
    <s v="n/a"/>
    <m/>
    <m/>
    <m/>
  </r>
  <r>
    <x v="2"/>
    <s v="C-IV"/>
    <x v="10"/>
    <x v="5"/>
    <x v="6"/>
    <s v="2017/18"/>
    <n v="81"/>
    <n v="144"/>
    <m/>
    <n v="1"/>
    <n v="1"/>
    <m/>
    <m/>
    <m/>
  </r>
  <r>
    <x v="3"/>
    <s v="C-IV"/>
    <x v="10"/>
    <x v="5"/>
    <x v="6"/>
    <s v="2017/18"/>
    <n v="1608"/>
    <n v="2931"/>
    <m/>
    <n v="0.98461538461538467"/>
    <n v="0.95652173913043481"/>
    <m/>
    <m/>
    <m/>
  </r>
  <r>
    <x v="4"/>
    <s v="C-IV"/>
    <x v="10"/>
    <x v="5"/>
    <x v="6"/>
    <s v="2017/18"/>
    <n v="16760"/>
    <n v="30879"/>
    <m/>
    <n v="0.85465116279069764"/>
    <n v="0.95049504950495045"/>
    <m/>
    <m/>
    <m/>
  </r>
  <r>
    <x v="5"/>
    <s v="C-IV"/>
    <x v="10"/>
    <x v="5"/>
    <x v="6"/>
    <s v="2017/18"/>
    <n v="2742"/>
    <n v="4961"/>
    <m/>
    <n v="0.97619047619047616"/>
    <n v="0.95402298850574707"/>
    <m/>
    <m/>
    <m/>
  </r>
  <r>
    <x v="6"/>
    <s v="C-IV"/>
    <x v="10"/>
    <x v="5"/>
    <x v="6"/>
    <s v="2017/18"/>
    <n v="661"/>
    <n v="1437"/>
    <m/>
    <n v="0.8928571428571429"/>
    <n v="0.84"/>
    <m/>
    <m/>
    <m/>
  </r>
  <r>
    <x v="7"/>
    <s v="CalWIN"/>
    <x v="10"/>
    <x v="5"/>
    <x v="6"/>
    <s v="2017/18"/>
    <n v="31599"/>
    <n v="63001"/>
    <m/>
    <n v="0.97779922779922779"/>
    <n v="0.95546558704453444"/>
    <m/>
    <m/>
    <m/>
  </r>
  <r>
    <x v="8"/>
    <s v="C-IV"/>
    <x v="10"/>
    <x v="5"/>
    <x v="6"/>
    <s v="2017/18"/>
    <n v="2595"/>
    <n v="5241"/>
    <m/>
    <n v="1"/>
    <n v="0.96"/>
    <m/>
    <m/>
    <m/>
  </r>
  <r>
    <x v="9"/>
    <s v="C-IV"/>
    <x v="10"/>
    <x v="5"/>
    <x v="6"/>
    <s v="2017/18"/>
    <n v="6537"/>
    <n v="14754"/>
    <m/>
    <n v="0.97587131367292224"/>
    <n v="0.97454545454545449"/>
    <m/>
    <m/>
    <m/>
  </r>
  <r>
    <x v="10"/>
    <s v="CalWIN"/>
    <x v="10"/>
    <x v="5"/>
    <x v="6"/>
    <s v="2017/18"/>
    <n v="89108"/>
    <n v="205161"/>
    <m/>
    <n v="0.93252688172043008"/>
    <n v="0.93739612188365651"/>
    <m/>
    <m/>
    <m/>
  </r>
  <r>
    <x v="11"/>
    <s v="C-IV"/>
    <x v="10"/>
    <x v="5"/>
    <x v="6"/>
    <s v="2017/18"/>
    <n v="1474"/>
    <n v="3392"/>
    <m/>
    <n v="1"/>
    <n v="0.96969696969696972"/>
    <m/>
    <m/>
    <m/>
  </r>
  <r>
    <x v="12"/>
    <s v="C-IV"/>
    <x v="10"/>
    <x v="5"/>
    <x v="6"/>
    <s v="2017/18"/>
    <n v="11974"/>
    <n v="20052"/>
    <m/>
    <n v="0.95604395604395609"/>
    <n v="0.9712918660287081"/>
    <m/>
    <m/>
    <m/>
  </r>
  <r>
    <x v="13"/>
    <s v="C-IV"/>
    <x v="10"/>
    <x v="5"/>
    <x v="6"/>
    <s v="2017/18"/>
    <n v="17347"/>
    <n v="41831"/>
    <m/>
    <n v="0.98640483383685795"/>
    <n v="0.93394077448747148"/>
    <m/>
    <m/>
    <m/>
  </r>
  <r>
    <x v="14"/>
    <s v="C-IV"/>
    <x v="10"/>
    <x v="5"/>
    <x v="6"/>
    <s v="2017/18"/>
    <n v="996"/>
    <n v="1928"/>
    <m/>
    <n v="1"/>
    <n v="0.73333333333333328"/>
    <m/>
    <m/>
    <m/>
  </r>
  <r>
    <x v="15"/>
    <s v="C-IV"/>
    <x v="10"/>
    <x v="5"/>
    <x v="6"/>
    <s v="2017/18"/>
    <n v="68295"/>
    <n v="157260"/>
    <m/>
    <n v="0.9883300916921367"/>
    <n v="0.93522093522093519"/>
    <m/>
    <m/>
    <m/>
  </r>
  <r>
    <x v="16"/>
    <s v="C-IV"/>
    <x v="10"/>
    <x v="5"/>
    <x v="6"/>
    <s v="2017/18"/>
    <n v="10567"/>
    <n v="23576"/>
    <m/>
    <n v="0.9932659932659933"/>
    <n v="0.92079207920792083"/>
    <m/>
    <m/>
    <m/>
  </r>
  <r>
    <x v="17"/>
    <s v="C-IV"/>
    <x v="10"/>
    <x v="5"/>
    <x v="6"/>
    <s v="2017/18"/>
    <n v="6355"/>
    <n v="11708"/>
    <m/>
    <n v="0.93569131832797425"/>
    <n v="0.82954545454545459"/>
    <m/>
    <m/>
    <m/>
  </r>
  <r>
    <x v="18"/>
    <s v="C-IV"/>
    <x v="10"/>
    <x v="5"/>
    <x v="6"/>
    <s v="2017/18"/>
    <n v="1517"/>
    <n v="3078"/>
    <m/>
    <n v="0.93827160493827155"/>
    <n v="0.92307692307692313"/>
    <m/>
    <m/>
    <m/>
  </r>
  <r>
    <x v="19"/>
    <s v="LRS"/>
    <x v="10"/>
    <x v="5"/>
    <x v="6"/>
    <s v="2017/18"/>
    <n v="550866"/>
    <n v="1095209"/>
    <m/>
    <n v="0.98733224222585925"/>
    <n v="0.91171253357660531"/>
    <m/>
    <m/>
    <m/>
  </r>
  <r>
    <x v="20"/>
    <s v="C-IV"/>
    <x v="10"/>
    <x v="5"/>
    <x v="6"/>
    <s v="2017/18"/>
    <n v="11235"/>
    <n v="27232"/>
    <m/>
    <n v="0.99027237354085607"/>
    <n v="0.98442367601246106"/>
    <m/>
    <m/>
    <m/>
  </r>
  <r>
    <x v="21"/>
    <s v="C-IV"/>
    <x v="10"/>
    <x v="5"/>
    <x v="6"/>
    <s v="2017/18"/>
    <n v="5936"/>
    <n v="9785"/>
    <m/>
    <n v="0.9563636363636363"/>
    <n v="0.91443850267379678"/>
    <m/>
    <m/>
    <m/>
  </r>
  <r>
    <x v="22"/>
    <s v="C-IV"/>
    <x v="10"/>
    <x v="5"/>
    <x v="6"/>
    <s v="2017/18"/>
    <n v="1017"/>
    <n v="1878"/>
    <m/>
    <n v="0.97727272727272729"/>
    <n v="0.96875"/>
    <m/>
    <m/>
    <m/>
  </r>
  <r>
    <x v="23"/>
    <s v="C-IV"/>
    <x v="10"/>
    <x v="5"/>
    <x v="6"/>
    <s v="2017/18"/>
    <n v="6284"/>
    <n v="11584"/>
    <m/>
    <n v="0.93279569892473124"/>
    <n v="0.89451476793248941"/>
    <m/>
    <m/>
    <m/>
  </r>
  <r>
    <x v="24"/>
    <s v="C-IV"/>
    <x v="10"/>
    <x v="5"/>
    <x v="6"/>
    <s v="2017/18"/>
    <n v="23042"/>
    <n v="53010"/>
    <m/>
    <n v="0.98543184183142563"/>
    <n v="0.97372262773722629"/>
    <m/>
    <m/>
    <m/>
  </r>
  <r>
    <x v="25"/>
    <s v="C-IV"/>
    <x v="10"/>
    <x v="5"/>
    <x v="6"/>
    <s v="2017/18"/>
    <n v="569"/>
    <n v="1208"/>
    <m/>
    <n v="0.95454545454545459"/>
    <n v="0.9285714285714286"/>
    <m/>
    <m/>
    <m/>
  </r>
  <r>
    <x v="26"/>
    <s v="C-IV"/>
    <x v="10"/>
    <x v="5"/>
    <x v="6"/>
    <s v="2017/18"/>
    <n v="398"/>
    <n v="681"/>
    <m/>
    <n v="1"/>
    <n v="0.91304347826086951"/>
    <m/>
    <m/>
    <m/>
  </r>
  <r>
    <x v="27"/>
    <s v="C-IV"/>
    <x v="10"/>
    <x v="5"/>
    <x v="6"/>
    <s v="2017/18"/>
    <n v="18967"/>
    <n v="41385"/>
    <m/>
    <n v="0.97607655502392343"/>
    <n v="0.93886462882096067"/>
    <m/>
    <m/>
    <m/>
  </r>
  <r>
    <x v="28"/>
    <s v="C-IV"/>
    <x v="10"/>
    <x v="5"/>
    <x v="6"/>
    <s v="2017/18"/>
    <n v="3032"/>
    <n v="6083"/>
    <m/>
    <n v="0.94067796610169496"/>
    <n v="0.92045454545454541"/>
    <m/>
    <m/>
    <m/>
  </r>
  <r>
    <x v="29"/>
    <s v="C-IV"/>
    <x v="10"/>
    <x v="5"/>
    <x v="6"/>
    <s v="2017/18"/>
    <n v="4028"/>
    <n v="6959"/>
    <m/>
    <n v="0.82802547770700641"/>
    <n v="0.79166666666666663"/>
    <m/>
    <m/>
    <m/>
  </r>
  <r>
    <x v="30"/>
    <s v="CalWIN"/>
    <x v="10"/>
    <x v="5"/>
    <x v="6"/>
    <s v="2017/18"/>
    <n v="114309"/>
    <n v="230662"/>
    <m/>
    <n v="0.99272571673085153"/>
    <n v="0.99763593380614657"/>
    <m/>
    <m/>
    <m/>
  </r>
  <r>
    <x v="31"/>
    <s v="CalWIN"/>
    <x v="10"/>
    <x v="5"/>
    <x v="6"/>
    <s v="2017/18"/>
    <n v="8556"/>
    <n v="15948"/>
    <m/>
    <n v="0.98939929328621912"/>
    <n v="0.87614678899082565"/>
    <m/>
    <m/>
    <m/>
  </r>
  <r>
    <x v="32"/>
    <s v="C-IV"/>
    <x v="10"/>
    <x v="5"/>
    <x v="6"/>
    <s v="2017/18"/>
    <n v="1143"/>
    <n v="2044"/>
    <m/>
    <n v="0.97499999999999998"/>
    <n v="0.90196078431372551"/>
    <m/>
    <m/>
    <m/>
  </r>
  <r>
    <x v="33"/>
    <s v="C-IV"/>
    <x v="10"/>
    <x v="5"/>
    <x v="6"/>
    <s v="2017/18"/>
    <n v="122029"/>
    <n v="269026"/>
    <m/>
    <n v="0.98976691301876063"/>
    <n v="0.91644771413557535"/>
    <m/>
    <m/>
    <m/>
  </r>
  <r>
    <x v="34"/>
    <s v="CalWIN"/>
    <x v="10"/>
    <x v="5"/>
    <x v="6"/>
    <s v="2017/18"/>
    <n v="96860"/>
    <n v="203309"/>
    <m/>
    <n v="0.99256410256410255"/>
    <n v="0.9830409356725146"/>
    <m/>
    <m/>
    <m/>
  </r>
  <r>
    <x v="35"/>
    <s v="C-IV"/>
    <x v="10"/>
    <x v="5"/>
    <x v="6"/>
    <s v="2017/18"/>
    <n v="2122"/>
    <n v="4653"/>
    <m/>
    <n v="0.98076923076923073"/>
    <n v="0.96"/>
    <m/>
    <m/>
    <m/>
  </r>
  <r>
    <x v="36"/>
    <s v="C-IV"/>
    <x v="10"/>
    <x v="5"/>
    <x v="6"/>
    <s v="2017/18"/>
    <n v="163660"/>
    <n v="355714"/>
    <m/>
    <n v="0.99196428571428574"/>
    <n v="0.94368079419625817"/>
    <m/>
    <m/>
    <m/>
  </r>
  <r>
    <x v="37"/>
    <s v="CalWIN"/>
    <x v="10"/>
    <x v="5"/>
    <x v="6"/>
    <s v="2017/18"/>
    <n v="133643"/>
    <n v="267634"/>
    <m/>
    <n v="0.97622171203673336"/>
    <n v="0.95381715362865227"/>
    <m/>
    <m/>
    <m/>
  </r>
  <r>
    <x v="38"/>
    <s v="CalWIN"/>
    <x v="10"/>
    <x v="5"/>
    <x v="6"/>
    <s v="2017/18"/>
    <n v="33716"/>
    <n v="50406"/>
    <m/>
    <n v="0.97395079594790157"/>
    <n v="0.77488514548238896"/>
    <m/>
    <m/>
    <m/>
  </r>
  <r>
    <x v="39"/>
    <s v="C-IV"/>
    <x v="10"/>
    <x v="5"/>
    <x v="6"/>
    <s v="2017/18"/>
    <n v="47203"/>
    <n v="104133"/>
    <m/>
    <n v="0.98077922077922075"/>
    <n v="0.92282696994313562"/>
    <m/>
    <m/>
    <m/>
  </r>
  <r>
    <x v="40"/>
    <s v="CalWIN"/>
    <x v="10"/>
    <x v="5"/>
    <x v="6"/>
    <s v="2017/18"/>
    <n v="9383"/>
    <n v="16589"/>
    <m/>
    <n v="0.95354523227383858"/>
    <n v="0.95670995670995673"/>
    <m/>
    <m/>
    <m/>
  </r>
  <r>
    <x v="41"/>
    <s v="CalWIN"/>
    <x v="10"/>
    <x v="5"/>
    <x v="6"/>
    <s v="2017/18"/>
    <n v="13159"/>
    <n v="25032"/>
    <m/>
    <n v="0.96129032258064517"/>
    <n v="0.87687687687687688"/>
    <m/>
    <m/>
    <m/>
  </r>
  <r>
    <x v="42"/>
    <s v="CalWIN"/>
    <x v="10"/>
    <x v="5"/>
    <x v="6"/>
    <s v="2017/18"/>
    <n v="18746"/>
    <n v="36938"/>
    <m/>
    <n v="0.92307692307692313"/>
    <n v="0.86402266288951846"/>
    <m/>
    <m/>
    <m/>
  </r>
  <r>
    <x v="43"/>
    <s v="CalWIN"/>
    <x v="10"/>
    <x v="5"/>
    <x v="6"/>
    <s v="2017/18"/>
    <n v="45866"/>
    <n v="88372"/>
    <m/>
    <n v="0.98588957055214721"/>
    <n v="0.9536842105263158"/>
    <m/>
    <m/>
    <m/>
  </r>
  <r>
    <x v="44"/>
    <s v="CalWIN"/>
    <x v="10"/>
    <x v="5"/>
    <x v="6"/>
    <s v="2017/18"/>
    <n v="14109"/>
    <n v="24996"/>
    <m/>
    <n v="0.94713656387665202"/>
    <n v="0.92543859649122806"/>
    <m/>
    <m/>
    <m/>
  </r>
  <r>
    <x v="45"/>
    <s v="C-IV"/>
    <x v="10"/>
    <x v="5"/>
    <x v="6"/>
    <s v="2017/18"/>
    <n v="12256"/>
    <n v="22878"/>
    <m/>
    <n v="0.94385964912280707"/>
    <n v="0.95283018867924529"/>
    <m/>
    <m/>
    <m/>
  </r>
  <r>
    <x v="46"/>
    <s v="C-IV"/>
    <x v="10"/>
    <x v="5"/>
    <x v="6"/>
    <s v="2017/18"/>
    <n v="158"/>
    <n v="271"/>
    <m/>
    <n v="1"/>
    <n v="0.75"/>
    <m/>
    <m/>
    <m/>
  </r>
  <r>
    <x v="47"/>
    <s v="C-IV"/>
    <x v="10"/>
    <x v="5"/>
    <x v="6"/>
    <s v="2017/18"/>
    <n v="3048"/>
    <n v="6221"/>
    <m/>
    <n v="0.96899224806201545"/>
    <n v="0.86458333333333337"/>
    <m/>
    <m/>
    <m/>
  </r>
  <r>
    <x v="48"/>
    <s v="CalWIN"/>
    <x v="10"/>
    <x v="5"/>
    <x v="6"/>
    <s v="2017/18"/>
    <n v="20868"/>
    <n v="38995"/>
    <m/>
    <n v="0.98294762484774667"/>
    <n v="0.96420581655480986"/>
    <m/>
    <m/>
    <m/>
  </r>
  <r>
    <x v="49"/>
    <s v="CalWIN"/>
    <x v="10"/>
    <x v="5"/>
    <x v="6"/>
    <s v="2017/18"/>
    <n v="17414"/>
    <n v="30149"/>
    <m/>
    <n v="0.93075356415478616"/>
    <n v="0.52291105121293802"/>
    <m/>
    <m/>
    <m/>
  </r>
  <r>
    <x v="50"/>
    <s v="C-IV"/>
    <x v="10"/>
    <x v="5"/>
    <x v="6"/>
    <s v="2017/18"/>
    <n v="38782"/>
    <n v="80667"/>
    <m/>
    <n v="0.96389496717724288"/>
    <n v="0.94417862838915467"/>
    <m/>
    <m/>
    <m/>
  </r>
  <r>
    <x v="51"/>
    <s v="C-IV"/>
    <x v="10"/>
    <x v="5"/>
    <x v="6"/>
    <s v="2017/18"/>
    <n v="5301"/>
    <n v="12071"/>
    <m/>
    <n v="0.95726495726495731"/>
    <n v="0.92737430167597767"/>
    <m/>
    <m/>
    <m/>
  </r>
  <r>
    <x v="52"/>
    <s v="C-IV"/>
    <x v="10"/>
    <x v="5"/>
    <x v="6"/>
    <s v="2017/18"/>
    <n v="4138"/>
    <n v="8887"/>
    <m/>
    <n v="0.91752577319587625"/>
    <n v="0.97014925373134331"/>
    <m/>
    <m/>
    <m/>
  </r>
  <r>
    <x v="53"/>
    <s v="C-IV"/>
    <x v="10"/>
    <x v="5"/>
    <x v="6"/>
    <s v="2017/18"/>
    <n v="973"/>
    <n v="1680"/>
    <m/>
    <n v="1"/>
    <n v="0.78048780487804881"/>
    <m/>
    <m/>
    <m/>
  </r>
  <r>
    <x v="54"/>
    <s v="CalWIN"/>
    <x v="10"/>
    <x v="5"/>
    <x v="6"/>
    <s v="2017/18"/>
    <n v="50906"/>
    <n v="117022"/>
    <m/>
    <n v="0.88252862120457942"/>
    <n v="0.84262295081967209"/>
    <m/>
    <m/>
    <m/>
  </r>
  <r>
    <x v="55"/>
    <s v="C-IV"/>
    <x v="10"/>
    <x v="5"/>
    <x v="6"/>
    <s v="2017/18"/>
    <n v="2710"/>
    <n v="4773"/>
    <m/>
    <n v="0.98360655737704916"/>
    <n v="0.97752808988764039"/>
    <m/>
    <m/>
    <m/>
  </r>
  <r>
    <x v="56"/>
    <s v="CalWIN"/>
    <x v="10"/>
    <x v="5"/>
    <x v="6"/>
    <s v="2017/18"/>
    <n v="34631"/>
    <n v="68495"/>
    <m/>
    <n v="0.97707979626485564"/>
    <n v="0.97"/>
    <m/>
    <m/>
    <m/>
  </r>
  <r>
    <x v="57"/>
    <s v="CalWIN"/>
    <x v="10"/>
    <x v="5"/>
    <x v="6"/>
    <s v="2017/18"/>
    <n v="10044"/>
    <n v="18604"/>
    <m/>
    <n v="0.77086494688922613"/>
    <n v="0.96648044692737434"/>
    <m/>
    <m/>
    <m/>
  </r>
  <r>
    <x v="58"/>
    <s v="C-IV"/>
    <x v="10"/>
    <x v="5"/>
    <x v="6"/>
    <s v="2017/18"/>
    <n v="5958"/>
    <n v="12834"/>
    <m/>
    <n v="0.984375"/>
    <n v="0.96694214876033058"/>
    <m/>
    <m/>
    <m/>
  </r>
  <r>
    <x v="0"/>
    <s v="n/a"/>
    <x v="11"/>
    <x v="5"/>
    <x v="6"/>
    <s v="2017/18"/>
    <n v="1985950"/>
    <n v="4069769"/>
    <m/>
    <n v="0.97875539877439344"/>
    <n v="0.92992337546024484"/>
    <m/>
    <m/>
    <m/>
  </r>
  <r>
    <x v="1"/>
    <s v="CalWIN"/>
    <x v="11"/>
    <x v="5"/>
    <x v="6"/>
    <s v="2017/18"/>
    <n v="56587"/>
    <n v="106310"/>
    <m/>
    <s v="n/a"/>
    <s v="n/a"/>
    <m/>
    <m/>
    <m/>
  </r>
  <r>
    <x v="2"/>
    <s v="C-IV"/>
    <x v="11"/>
    <x v="5"/>
    <x v="6"/>
    <s v="2017/18"/>
    <n v="77"/>
    <n v="136"/>
    <m/>
    <n v="1"/>
    <e v="#DIV/0!"/>
    <m/>
    <m/>
    <m/>
  </r>
  <r>
    <x v="3"/>
    <s v="C-IV"/>
    <x v="11"/>
    <x v="5"/>
    <x v="6"/>
    <s v="2017/18"/>
    <n v="1609"/>
    <n v="2939"/>
    <m/>
    <n v="1"/>
    <n v="0.96491228070175439"/>
    <m/>
    <m/>
    <m/>
  </r>
  <r>
    <x v="4"/>
    <s v="C-IV"/>
    <x v="11"/>
    <x v="5"/>
    <x v="6"/>
    <s v="2017/18"/>
    <n v="16845"/>
    <n v="30881"/>
    <m/>
    <n v="0.89987484355444303"/>
    <n v="0.93835616438356162"/>
    <m/>
    <m/>
    <m/>
  </r>
  <r>
    <x v="5"/>
    <s v="C-IV"/>
    <x v="11"/>
    <x v="5"/>
    <x v="6"/>
    <s v="2017/18"/>
    <n v="2768"/>
    <n v="4999"/>
    <m/>
    <n v="0.98347107438016534"/>
    <n v="0.95774647887323938"/>
    <m/>
    <m/>
    <m/>
  </r>
  <r>
    <x v="6"/>
    <s v="C-IV"/>
    <x v="11"/>
    <x v="5"/>
    <x v="6"/>
    <s v="2017/18"/>
    <n v="670"/>
    <n v="1442"/>
    <m/>
    <n v="0.95652173913043481"/>
    <n v="0.93939393939393945"/>
    <m/>
    <m/>
    <m/>
  </r>
  <r>
    <x v="7"/>
    <s v="CalWIN"/>
    <x v="11"/>
    <x v="5"/>
    <x v="6"/>
    <s v="2017/18"/>
    <n v="31506"/>
    <n v="62958"/>
    <m/>
    <n v="0.97942386831275718"/>
    <n v="0.97852028639618138"/>
    <m/>
    <m/>
    <m/>
  </r>
  <r>
    <x v="8"/>
    <s v="C-IV"/>
    <x v="11"/>
    <x v="5"/>
    <x v="6"/>
    <s v="2017/18"/>
    <n v="2588"/>
    <n v="5215"/>
    <m/>
    <n v="0.99019607843137258"/>
    <n v="0.92957746478873238"/>
    <m/>
    <m/>
    <m/>
  </r>
  <r>
    <x v="9"/>
    <s v="C-IV"/>
    <x v="11"/>
    <x v="5"/>
    <x v="6"/>
    <s v="2017/18"/>
    <n v="6544"/>
    <n v="11440"/>
    <m/>
    <n v="0.98203592814371254"/>
    <n v="0.98795180722891562"/>
    <m/>
    <m/>
    <m/>
  </r>
  <r>
    <x v="10"/>
    <s v="CalWIN"/>
    <x v="11"/>
    <x v="5"/>
    <x v="6"/>
    <s v="2017/18"/>
    <n v="89719"/>
    <n v="206345"/>
    <m/>
    <n v="0.93533913961467408"/>
    <n v="0.94406779661016949"/>
    <m/>
    <m/>
    <m/>
  </r>
  <r>
    <x v="11"/>
    <s v="C-IV"/>
    <x v="11"/>
    <x v="5"/>
    <x v="6"/>
    <s v="2017/18"/>
    <n v="1474"/>
    <n v="2385"/>
    <m/>
    <n v="0.95588235294117652"/>
    <n v="0.97826086956521741"/>
    <m/>
    <m/>
    <m/>
  </r>
  <r>
    <x v="12"/>
    <s v="C-IV"/>
    <x v="11"/>
    <x v="5"/>
    <x v="6"/>
    <s v="2017/18"/>
    <n v="12008"/>
    <n v="20034"/>
    <m/>
    <n v="0.95741056218057918"/>
    <n v="0.96601941747572817"/>
    <m/>
    <m/>
    <m/>
  </r>
  <r>
    <x v="13"/>
    <s v="C-IV"/>
    <x v="11"/>
    <x v="5"/>
    <x v="6"/>
    <s v="2017/18"/>
    <n v="17180"/>
    <n v="41423"/>
    <m/>
    <n v="0.98809523809523814"/>
    <n v="0.92351274787535409"/>
    <m/>
    <m/>
    <m/>
  </r>
  <r>
    <x v="14"/>
    <s v="C-IV"/>
    <x v="11"/>
    <x v="5"/>
    <x v="6"/>
    <s v="2017/18"/>
    <n v="999"/>
    <n v="1925"/>
    <m/>
    <n v="1"/>
    <n v="0.8529411764705882"/>
    <m/>
    <m/>
    <m/>
  </r>
  <r>
    <x v="15"/>
    <s v="C-IV"/>
    <x v="11"/>
    <x v="5"/>
    <x v="6"/>
    <s v="2017/18"/>
    <n v="68268"/>
    <n v="157266"/>
    <m/>
    <n v="0.98506588579795018"/>
    <n v="0.93650068524440389"/>
    <m/>
    <m/>
    <m/>
  </r>
  <r>
    <x v="16"/>
    <s v="C-IV"/>
    <x v="11"/>
    <x v="5"/>
    <x v="6"/>
    <s v="2017/18"/>
    <n v="10606"/>
    <n v="23692"/>
    <m/>
    <n v="1"/>
    <n v="0.95975232198142413"/>
    <m/>
    <m/>
    <m/>
  </r>
  <r>
    <x v="17"/>
    <s v="C-IV"/>
    <x v="11"/>
    <x v="5"/>
    <x v="6"/>
    <s v="2017/18"/>
    <n v="6320"/>
    <n v="11620"/>
    <m/>
    <n v="0.87132352941176472"/>
    <n v="0.91228070175438591"/>
    <m/>
    <m/>
    <m/>
  </r>
  <r>
    <x v="18"/>
    <s v="C-IV"/>
    <x v="11"/>
    <x v="5"/>
    <x v="6"/>
    <s v="2017/18"/>
    <n v="1497"/>
    <n v="3025"/>
    <m/>
    <n v="0.93333333333333335"/>
    <n v="0.94871794871794868"/>
    <m/>
    <m/>
    <m/>
  </r>
  <r>
    <x v="19"/>
    <s v="LRS"/>
    <x v="11"/>
    <x v="5"/>
    <x v="6"/>
    <s v="2017/18"/>
    <n v="554348"/>
    <n v="1099100"/>
    <m/>
    <n v="0.98864628820960698"/>
    <n v="0.91670242437245231"/>
    <m/>
    <m/>
    <m/>
  </r>
  <r>
    <x v="20"/>
    <s v="C-IV"/>
    <x v="11"/>
    <x v="5"/>
    <x v="6"/>
    <s v="2017/18"/>
    <n v="11301"/>
    <n v="27315"/>
    <m/>
    <n v="0.98326359832635979"/>
    <n v="0.98"/>
    <m/>
    <m/>
    <m/>
  </r>
  <r>
    <x v="21"/>
    <s v="C-IV"/>
    <x v="11"/>
    <x v="5"/>
    <x v="6"/>
    <s v="2017/18"/>
    <n v="5923"/>
    <n v="9775"/>
    <m/>
    <n v="0.97378277153558057"/>
    <n v="0.9526627218934911"/>
    <m/>
    <m/>
    <m/>
  </r>
  <r>
    <x v="22"/>
    <s v="C-IV"/>
    <x v="11"/>
    <x v="5"/>
    <x v="6"/>
    <s v="2017/18"/>
    <n v="1031"/>
    <n v="1910"/>
    <m/>
    <n v="1"/>
    <n v="1"/>
    <m/>
    <m/>
    <m/>
  </r>
  <r>
    <x v="23"/>
    <s v="C-IV"/>
    <x v="11"/>
    <x v="5"/>
    <x v="6"/>
    <s v="2017/18"/>
    <n v="6272"/>
    <n v="11569"/>
    <m/>
    <n v="0.92211838006230529"/>
    <n v="0.87606837606837606"/>
    <m/>
    <m/>
    <m/>
  </r>
  <r>
    <x v="24"/>
    <s v="C-IV"/>
    <x v="11"/>
    <x v="5"/>
    <x v="6"/>
    <s v="2017/18"/>
    <n v="23084"/>
    <n v="53088"/>
    <m/>
    <n v="0.98527865404837012"/>
    <n v="0.97380585516178741"/>
    <m/>
    <m/>
    <m/>
  </r>
  <r>
    <x v="25"/>
    <s v="C-IV"/>
    <x v="11"/>
    <x v="5"/>
    <x v="6"/>
    <s v="2017/18"/>
    <n v="581"/>
    <n v="1216"/>
    <m/>
    <n v="0.88571428571428568"/>
    <n v="0.92"/>
    <m/>
    <m/>
    <m/>
  </r>
  <r>
    <x v="26"/>
    <s v="C-IV"/>
    <x v="11"/>
    <x v="5"/>
    <x v="6"/>
    <s v="2017/18"/>
    <n v="413"/>
    <n v="709"/>
    <m/>
    <n v="0.92500000000000004"/>
    <n v="0.92"/>
    <m/>
    <m/>
    <m/>
  </r>
  <r>
    <x v="27"/>
    <s v="C-IV"/>
    <x v="11"/>
    <x v="5"/>
    <x v="6"/>
    <s v="2017/18"/>
    <n v="20394"/>
    <n v="45078"/>
    <m/>
    <n v="0.9781115879828326"/>
    <n v="0.92895015906680811"/>
    <m/>
    <m/>
    <m/>
  </r>
  <r>
    <x v="28"/>
    <s v="C-IV"/>
    <x v="11"/>
    <x v="5"/>
    <x v="6"/>
    <s v="2017/18"/>
    <n v="3030"/>
    <n v="6038"/>
    <m/>
    <n v="0.89444444444444449"/>
    <n v="0.89622641509433965"/>
    <m/>
    <m/>
    <m/>
  </r>
  <r>
    <x v="29"/>
    <s v="C-IV"/>
    <x v="11"/>
    <x v="5"/>
    <x v="6"/>
    <s v="2017/18"/>
    <n v="4031"/>
    <n v="6939"/>
    <m/>
    <n v="0.78888888888888886"/>
    <n v="0.76119402985074625"/>
    <m/>
    <m/>
    <m/>
  </r>
  <r>
    <x v="30"/>
    <s v="CalWIN"/>
    <x v="11"/>
    <x v="5"/>
    <x v="6"/>
    <s v="2017/18"/>
    <n v="113785"/>
    <n v="230130"/>
    <m/>
    <n v="0.99566704675028506"/>
    <n v="0.99705159705159707"/>
    <m/>
    <m/>
    <m/>
  </r>
  <r>
    <x v="31"/>
    <s v="CalWIN"/>
    <x v="11"/>
    <x v="5"/>
    <x v="6"/>
    <s v="2017/18"/>
    <n v="8522"/>
    <n v="15863"/>
    <m/>
    <n v="0.9884615384615385"/>
    <n v="0.90686274509803921"/>
    <m/>
    <m/>
    <m/>
  </r>
  <r>
    <x v="32"/>
    <s v="C-IV"/>
    <x v="11"/>
    <x v="5"/>
    <x v="6"/>
    <s v="2017/18"/>
    <n v="1174"/>
    <n v="2108"/>
    <m/>
    <n v="0.95081967213114749"/>
    <n v="0.97142857142857142"/>
    <m/>
    <m/>
    <m/>
  </r>
  <r>
    <x v="33"/>
    <s v="C-IV"/>
    <x v="11"/>
    <x v="5"/>
    <x v="6"/>
    <s v="2017/18"/>
    <n v="120891"/>
    <n v="265986"/>
    <m/>
    <n v="0.99308705984013823"/>
    <n v="0.92058735391069824"/>
    <m/>
    <m/>
    <m/>
  </r>
  <r>
    <x v="34"/>
    <s v="CalWIN"/>
    <x v="11"/>
    <x v="5"/>
    <x v="6"/>
    <s v="2017/18"/>
    <n v="96516"/>
    <n v="202910"/>
    <m/>
    <n v="0.99281644785731982"/>
    <n v="0.98481308411214952"/>
    <m/>
    <m/>
    <m/>
  </r>
  <r>
    <x v="35"/>
    <s v="C-IV"/>
    <x v="11"/>
    <x v="5"/>
    <x v="6"/>
    <s v="2017/18"/>
    <n v="2118"/>
    <n v="4652"/>
    <m/>
    <n v="0.9652173913043478"/>
    <n v="0.97368421052631582"/>
    <m/>
    <m/>
    <m/>
  </r>
  <r>
    <x v="36"/>
    <s v="C-IV"/>
    <x v="11"/>
    <x v="5"/>
    <x v="6"/>
    <s v="2017/18"/>
    <n v="162482"/>
    <n v="352795"/>
    <m/>
    <n v="0.99403275048570638"/>
    <n v="0.94490131578947367"/>
    <m/>
    <m/>
    <m/>
  </r>
  <r>
    <x v="37"/>
    <s v="CalWIN"/>
    <x v="11"/>
    <x v="5"/>
    <x v="6"/>
    <s v="2017/18"/>
    <n v="133714"/>
    <n v="268565"/>
    <m/>
    <n v="0.97560160427807485"/>
    <n v="0.95692025664527958"/>
    <m/>
    <m/>
    <m/>
  </r>
  <r>
    <x v="38"/>
    <s v="CalWIN"/>
    <x v="11"/>
    <x v="5"/>
    <x v="6"/>
    <s v="2017/18"/>
    <n v="33601"/>
    <n v="50348"/>
    <m/>
    <n v="0.96715049656226126"/>
    <n v="0.78333333333333333"/>
    <m/>
    <m/>
    <m/>
  </r>
  <r>
    <x v="39"/>
    <s v="C-IV"/>
    <x v="11"/>
    <x v="5"/>
    <x v="6"/>
    <s v="2017/18"/>
    <n v="46912"/>
    <n v="103344"/>
    <m/>
    <n v="0.98250128667009784"/>
    <n v="0.92518101367658889"/>
    <m/>
    <m/>
    <m/>
  </r>
  <r>
    <x v="40"/>
    <s v="CalWIN"/>
    <x v="11"/>
    <x v="5"/>
    <x v="6"/>
    <s v="2017/18"/>
    <n v="9388"/>
    <n v="16451"/>
    <m/>
    <n v="0.97841726618705038"/>
    <n v="0.97247706422018354"/>
    <m/>
    <m/>
    <m/>
  </r>
  <r>
    <x v="41"/>
    <s v="CalWIN"/>
    <x v="11"/>
    <x v="5"/>
    <x v="6"/>
    <s v="2017/18"/>
    <n v="13040"/>
    <n v="24925"/>
    <m/>
    <n v="0.97239915074309979"/>
    <n v="0.93103448275862066"/>
    <m/>
    <m/>
    <m/>
  </r>
  <r>
    <x v="42"/>
    <s v="CalWIN"/>
    <x v="11"/>
    <x v="5"/>
    <x v="6"/>
    <s v="2017/18"/>
    <n v="19232"/>
    <n v="37984"/>
    <m/>
    <n v="0.87682832948421863"/>
    <n v="0.91003460207612452"/>
    <m/>
    <m/>
    <m/>
  </r>
  <r>
    <x v="43"/>
    <s v="CalWIN"/>
    <x v="11"/>
    <x v="5"/>
    <x v="6"/>
    <s v="2017/18"/>
    <n v="45652"/>
    <n v="87809"/>
    <m/>
    <n v="0.98702983138780809"/>
    <n v="0.96226415094339623"/>
    <m/>
    <m/>
    <m/>
  </r>
  <r>
    <x v="44"/>
    <s v="CalWIN"/>
    <x v="11"/>
    <x v="5"/>
    <x v="6"/>
    <s v="2017/18"/>
    <n v="14362"/>
    <n v="25568"/>
    <m/>
    <n v="0.96788321167883207"/>
    <n v="0.970873786407767"/>
    <m/>
    <m/>
    <m/>
  </r>
  <r>
    <x v="45"/>
    <s v="C-IV"/>
    <x v="11"/>
    <x v="5"/>
    <x v="6"/>
    <s v="2017/18"/>
    <n v="12331"/>
    <n v="23085"/>
    <m/>
    <n v="0.93717277486910999"/>
    <n v="0.95717884130982367"/>
    <m/>
    <m/>
    <m/>
  </r>
  <r>
    <x v="46"/>
    <s v="C-IV"/>
    <x v="11"/>
    <x v="5"/>
    <x v="6"/>
    <s v="2017/18"/>
    <n v="156"/>
    <n v="262"/>
    <m/>
    <n v="1"/>
    <n v="1"/>
    <m/>
    <m/>
    <m/>
  </r>
  <r>
    <x v="47"/>
    <s v="C-IV"/>
    <x v="11"/>
    <x v="5"/>
    <x v="6"/>
    <s v="2017/18"/>
    <n v="3078"/>
    <n v="6353"/>
    <m/>
    <n v="0.95348837209302328"/>
    <n v="0.88135593220338981"/>
    <m/>
    <m/>
    <m/>
  </r>
  <r>
    <x v="48"/>
    <s v="CalWIN"/>
    <x v="11"/>
    <x v="5"/>
    <x v="6"/>
    <s v="2017/18"/>
    <n v="20974"/>
    <n v="39153"/>
    <m/>
    <n v="0.96977329974811088"/>
    <n v="0.96082474226804127"/>
    <m/>
    <m/>
    <m/>
  </r>
  <r>
    <x v="49"/>
    <s v="CalWIN"/>
    <x v="11"/>
    <x v="5"/>
    <x v="6"/>
    <s v="2017/18"/>
    <n v="16881"/>
    <n v="29682"/>
    <m/>
    <n v="0.86422413793103448"/>
    <n v="0.51038575667655783"/>
    <m/>
    <m/>
    <m/>
  </r>
  <r>
    <x v="50"/>
    <s v="C-IV"/>
    <x v="11"/>
    <x v="5"/>
    <x v="6"/>
    <s v="2017/18"/>
    <n v="38671"/>
    <n v="80673"/>
    <m/>
    <n v="0.98370197904540158"/>
    <n v="0.94096916299559474"/>
    <m/>
    <m/>
    <m/>
  </r>
  <r>
    <x v="51"/>
    <s v="C-IV"/>
    <x v="11"/>
    <x v="5"/>
    <x v="6"/>
    <s v="2017/18"/>
    <n v="5359"/>
    <n v="12232"/>
    <m/>
    <n v="0.97397769516728627"/>
    <n v="0.95169082125603865"/>
    <m/>
    <m/>
    <m/>
  </r>
  <r>
    <x v="52"/>
    <s v="C-IV"/>
    <x v="11"/>
    <x v="5"/>
    <x v="6"/>
    <s v="2017/18"/>
    <n v="4159"/>
    <n v="9011"/>
    <m/>
    <n v="0.89671361502347413"/>
    <n v="0.94557823129251706"/>
    <m/>
    <m/>
    <m/>
  </r>
  <r>
    <x v="53"/>
    <s v="C-IV"/>
    <x v="11"/>
    <x v="5"/>
    <x v="6"/>
    <s v="2017/18"/>
    <n v="986"/>
    <n v="1685"/>
    <m/>
    <n v="0.984375"/>
    <n v="0.63636363636363635"/>
    <m/>
    <m/>
    <m/>
  </r>
  <r>
    <x v="54"/>
    <s v="CalWIN"/>
    <x v="11"/>
    <x v="5"/>
    <x v="6"/>
    <s v="2017/18"/>
    <n v="51026"/>
    <n v="117544"/>
    <m/>
    <n v="0.99417475728155336"/>
    <n v="0.82352941176470584"/>
    <m/>
    <m/>
    <m/>
  </r>
  <r>
    <x v="55"/>
    <s v="C-IV"/>
    <x v="11"/>
    <x v="5"/>
    <x v="6"/>
    <s v="2017/18"/>
    <n v="2684"/>
    <n v="4725"/>
    <m/>
    <n v="0.97457627118644063"/>
    <n v="0.97222222222222221"/>
    <m/>
    <m/>
    <m/>
  </r>
  <r>
    <x v="56"/>
    <s v="CalWIN"/>
    <x v="11"/>
    <x v="5"/>
    <x v="6"/>
    <s v="2017/18"/>
    <n v="34448"/>
    <n v="67604"/>
    <m/>
    <n v="0.98945286750164796"/>
    <n v="0.95342465753424654"/>
    <m/>
    <m/>
    <m/>
  </r>
  <r>
    <x v="57"/>
    <s v="CalWIN"/>
    <x v="11"/>
    <x v="5"/>
    <x v="6"/>
    <s v="2017/18"/>
    <n v="10146"/>
    <n v="18712"/>
    <m/>
    <n v="0.81632653061224492"/>
    <n v="0.86448598130841126"/>
    <m/>
    <m/>
    <m/>
  </r>
  <r>
    <x v="58"/>
    <s v="C-IV"/>
    <x v="11"/>
    <x v="5"/>
    <x v="6"/>
    <s v="2017/18"/>
    <n v="5989"/>
    <n v="12838"/>
    <m/>
    <n v="0.98559077809798268"/>
    <n v="0.97265625"/>
    <m/>
    <m/>
    <m/>
  </r>
  <r>
    <x v="0"/>
    <s v="n/a"/>
    <x v="0"/>
    <x v="6"/>
    <x v="6"/>
    <s v="2017/18"/>
    <n v="1978933"/>
    <n v="4036001"/>
    <m/>
    <n v="0.97950903442073423"/>
    <n v="0.90960405489912122"/>
    <m/>
    <m/>
    <m/>
  </r>
  <r>
    <x v="1"/>
    <s v="CalWIN"/>
    <x v="0"/>
    <x v="6"/>
    <x v="6"/>
    <s v="2017/18"/>
    <n v="56497"/>
    <n v="104937"/>
    <m/>
    <s v="n/a"/>
    <s v="n/a"/>
    <m/>
    <m/>
    <m/>
  </r>
  <r>
    <x v="2"/>
    <s v="C-IV"/>
    <x v="0"/>
    <x v="6"/>
    <x v="6"/>
    <s v="2017/18"/>
    <n v="79"/>
    <n v="139"/>
    <m/>
    <n v="1"/>
    <n v="1"/>
    <m/>
    <m/>
    <m/>
  </r>
  <r>
    <x v="3"/>
    <s v="C-IV"/>
    <x v="0"/>
    <x v="6"/>
    <x v="6"/>
    <s v="2017/18"/>
    <n v="1609"/>
    <n v="2915"/>
    <m/>
    <n v="1"/>
    <n v="0.98461538461538467"/>
    <m/>
    <m/>
    <m/>
  </r>
  <r>
    <x v="4"/>
    <s v="C-IV"/>
    <x v="0"/>
    <x v="6"/>
    <x v="6"/>
    <s v="2017/18"/>
    <n v="17012"/>
    <n v="31060"/>
    <m/>
    <n v="0.93989071038251371"/>
    <n v="0.94459459459459461"/>
    <m/>
    <m/>
    <m/>
  </r>
  <r>
    <x v="5"/>
    <s v="C-IV"/>
    <x v="0"/>
    <x v="6"/>
    <x v="6"/>
    <s v="2017/18"/>
    <n v="2770"/>
    <n v="4993"/>
    <m/>
    <n v="0.9726027397260274"/>
    <n v="0.95652173913043481"/>
    <m/>
    <m/>
    <m/>
  </r>
  <r>
    <x v="6"/>
    <s v="C-IV"/>
    <x v="0"/>
    <x v="6"/>
    <x v="6"/>
    <s v="2017/18"/>
    <n v="682"/>
    <n v="1486"/>
    <m/>
    <n v="0.90476190476190477"/>
    <n v="0.96875"/>
    <m/>
    <m/>
    <m/>
  </r>
  <r>
    <x v="7"/>
    <s v="CalWIN"/>
    <x v="0"/>
    <x v="6"/>
    <x v="6"/>
    <s v="2017/18"/>
    <n v="31436"/>
    <n v="62160"/>
    <m/>
    <n v="0.97906755470980023"/>
    <n v="0.97919999999999996"/>
    <m/>
    <m/>
    <m/>
  </r>
  <r>
    <x v="8"/>
    <s v="C-IV"/>
    <x v="0"/>
    <x v="6"/>
    <x v="6"/>
    <s v="2017/18"/>
    <n v="2602"/>
    <n v="5196"/>
    <m/>
    <n v="1"/>
    <n v="0.85333333333333339"/>
    <m/>
    <m/>
    <m/>
  </r>
  <r>
    <x v="9"/>
    <s v="C-IV"/>
    <x v="0"/>
    <x v="6"/>
    <x v="6"/>
    <s v="2017/18"/>
    <n v="6529"/>
    <n v="11339"/>
    <m/>
    <n v="0.99085365853658536"/>
    <n v="1"/>
    <m/>
    <m/>
    <m/>
  </r>
  <r>
    <x v="10"/>
    <s v="CalWIN"/>
    <x v="0"/>
    <x v="6"/>
    <x v="6"/>
    <s v="2017/18"/>
    <n v="89469"/>
    <n v="205875"/>
    <m/>
    <n v="0.94232331437855399"/>
    <n v="0.69015544041450783"/>
    <m/>
    <m/>
    <m/>
  </r>
  <r>
    <x v="11"/>
    <s v="C-IV"/>
    <x v="0"/>
    <x v="6"/>
    <x v="6"/>
    <s v="2017/18"/>
    <n v="1493"/>
    <n v="3425"/>
    <m/>
    <n v="0.92405063291139244"/>
    <n v="0.98039215686274506"/>
    <m/>
    <m/>
    <m/>
  </r>
  <r>
    <x v="12"/>
    <s v="C-IV"/>
    <x v="0"/>
    <x v="6"/>
    <x v="6"/>
    <s v="2017/18"/>
    <n v="12025"/>
    <n v="20071"/>
    <m/>
    <n v="0.98493975903614461"/>
    <n v="0.9854469854469855"/>
    <m/>
    <m/>
    <m/>
  </r>
  <r>
    <x v="13"/>
    <s v="C-IV"/>
    <x v="0"/>
    <x v="6"/>
    <x v="6"/>
    <s v="2017/18"/>
    <n v="17149"/>
    <n v="41050"/>
    <m/>
    <n v="0.97236842105263155"/>
    <n v="0.92750533049040507"/>
    <m/>
    <m/>
    <m/>
  </r>
  <r>
    <x v="14"/>
    <s v="C-IV"/>
    <x v="0"/>
    <x v="6"/>
    <x v="6"/>
    <s v="2017/18"/>
    <n v="1033"/>
    <n v="2002"/>
    <m/>
    <n v="1"/>
    <n v="0.87234042553191493"/>
    <m/>
    <m/>
    <m/>
  </r>
  <r>
    <x v="15"/>
    <s v="C-IV"/>
    <x v="0"/>
    <x v="6"/>
    <x v="6"/>
    <s v="2017/18"/>
    <n v="68299"/>
    <n v="157208"/>
    <m/>
    <n v="0.98085053469286243"/>
    <n v="0.90787019768743005"/>
    <m/>
    <m/>
    <m/>
  </r>
  <r>
    <x v="16"/>
    <s v="C-IV"/>
    <x v="0"/>
    <x v="6"/>
    <x v="6"/>
    <s v="2017/18"/>
    <n v="10770"/>
    <n v="23971"/>
    <m/>
    <n v="0.99294781382228492"/>
    <n v="0.94541910331384016"/>
    <m/>
    <m/>
    <m/>
  </r>
  <r>
    <x v="17"/>
    <s v="C-IV"/>
    <x v="0"/>
    <x v="6"/>
    <x v="6"/>
    <s v="2017/18"/>
    <n v="6396"/>
    <n v="11684"/>
    <m/>
    <n v="0.90490797546012269"/>
    <n v="0.92050209205020916"/>
    <m/>
    <m/>
    <m/>
  </r>
  <r>
    <x v="18"/>
    <s v="C-IV"/>
    <x v="0"/>
    <x v="6"/>
    <x v="6"/>
    <s v="2017/18"/>
    <n v="1515"/>
    <n v="3044"/>
    <m/>
    <n v="0.93975903614457834"/>
    <n v="0.73913043478260865"/>
    <m/>
    <m/>
    <m/>
  </r>
  <r>
    <x v="19"/>
    <s v="LRS"/>
    <x v="0"/>
    <x v="6"/>
    <x v="6"/>
    <s v="2017/18"/>
    <n v="555624"/>
    <n v="1097151"/>
    <m/>
    <n v="0.99184549356223173"/>
    <n v="0.91588909034626098"/>
    <m/>
    <m/>
    <m/>
  </r>
  <r>
    <x v="20"/>
    <s v="C-IV"/>
    <x v="0"/>
    <x v="6"/>
    <x v="6"/>
    <s v="2017/18"/>
    <n v="11370"/>
    <n v="27424"/>
    <m/>
    <n v="0.99411764705882355"/>
    <n v="0.97826086956521741"/>
    <m/>
    <m/>
    <m/>
  </r>
  <r>
    <x v="21"/>
    <s v="C-IV"/>
    <x v="0"/>
    <x v="6"/>
    <x v="6"/>
    <s v="2017/18"/>
    <n v="6007"/>
    <n v="9872"/>
    <m/>
    <n v="0.991044776119403"/>
    <n v="0.90783410138248843"/>
    <m/>
    <m/>
    <m/>
  </r>
  <r>
    <x v="22"/>
    <s v="C-IV"/>
    <x v="0"/>
    <x v="6"/>
    <x v="6"/>
    <s v="2017/18"/>
    <n v="1039"/>
    <n v="1926"/>
    <m/>
    <n v="0.98039215686274506"/>
    <n v="0.97368421052631582"/>
    <m/>
    <m/>
    <m/>
  </r>
  <r>
    <x v="23"/>
    <s v="C-IV"/>
    <x v="0"/>
    <x v="6"/>
    <x v="6"/>
    <s v="2017/18"/>
    <n v="6287"/>
    <n v="11559"/>
    <m/>
    <n v="0.93939393939393945"/>
    <n v="0.88102893890675238"/>
    <m/>
    <m/>
    <m/>
  </r>
  <r>
    <x v="24"/>
    <s v="C-IV"/>
    <x v="0"/>
    <x v="6"/>
    <x v="6"/>
    <s v="2017/18"/>
    <n v="23163"/>
    <n v="53153"/>
    <m/>
    <n v="0.97720797720797725"/>
    <n v="0.97278911564625847"/>
    <m/>
    <m/>
    <m/>
  </r>
  <r>
    <x v="25"/>
    <s v="C-IV"/>
    <x v="0"/>
    <x v="6"/>
    <x v="6"/>
    <s v="2017/18"/>
    <n v="594"/>
    <n v="1244"/>
    <m/>
    <n v="0.97222222222222221"/>
    <n v="0.96296296296296291"/>
    <m/>
    <m/>
    <m/>
  </r>
  <r>
    <x v="26"/>
    <s v="C-IV"/>
    <x v="0"/>
    <x v="6"/>
    <x v="6"/>
    <s v="2017/18"/>
    <n v="401"/>
    <n v="697"/>
    <m/>
    <n v="0.95238095238095233"/>
    <n v="0.9375"/>
    <m/>
    <m/>
    <m/>
  </r>
  <r>
    <x v="27"/>
    <s v="C-IV"/>
    <x v="0"/>
    <x v="6"/>
    <x v="6"/>
    <s v="2017/18"/>
    <n v="21204"/>
    <n v="47217"/>
    <m/>
    <n v="0.969896004378763"/>
    <n v="0.9247787610619469"/>
    <m/>
    <m/>
    <m/>
  </r>
  <r>
    <x v="28"/>
    <s v="C-IV"/>
    <x v="0"/>
    <x v="6"/>
    <x v="6"/>
    <s v="2017/18"/>
    <n v="3062"/>
    <n v="6110"/>
    <m/>
    <n v="0.89655172413793105"/>
    <n v="0.86238532110091748"/>
    <m/>
    <m/>
    <m/>
  </r>
  <r>
    <x v="29"/>
    <s v="C-IV"/>
    <x v="0"/>
    <x v="6"/>
    <x v="6"/>
    <s v="2017/18"/>
    <n v="4019"/>
    <n v="6901"/>
    <m/>
    <n v="0.73684210526315796"/>
    <n v="0.76162790697674421"/>
    <m/>
    <m/>
    <m/>
  </r>
  <r>
    <x v="30"/>
    <s v="CalWIN"/>
    <x v="0"/>
    <x v="6"/>
    <x v="6"/>
    <s v="2017/18"/>
    <n v="113584"/>
    <n v="226935"/>
    <m/>
    <n v="0.98945019273686341"/>
    <n v="0.99809741248097417"/>
    <m/>
    <m/>
    <m/>
  </r>
  <r>
    <x v="31"/>
    <s v="CalWIN"/>
    <x v="0"/>
    <x v="6"/>
    <x v="6"/>
    <s v="2017/18"/>
    <n v="8576"/>
    <n v="15802"/>
    <m/>
    <n v="1"/>
    <n v="0.91221374045801529"/>
    <m/>
    <m/>
    <m/>
  </r>
  <r>
    <x v="32"/>
    <s v="C-IV"/>
    <x v="0"/>
    <x v="6"/>
    <x v="6"/>
    <s v="2017/18"/>
    <n v="1220"/>
    <n v="2202"/>
    <m/>
    <n v="0.97701149425287359"/>
    <n v="0.921875"/>
    <m/>
    <m/>
    <m/>
  </r>
  <r>
    <x v="33"/>
    <s v="C-IV"/>
    <x v="0"/>
    <x v="6"/>
    <x v="6"/>
    <s v="2017/18"/>
    <n v="120061"/>
    <n v="263086"/>
    <m/>
    <n v="0.99038461538461542"/>
    <n v="0.90085312427945585"/>
    <m/>
    <m/>
    <m/>
  </r>
  <r>
    <x v="34"/>
    <s v="CalWIN"/>
    <x v="0"/>
    <x v="6"/>
    <x v="6"/>
    <s v="2017/18"/>
    <n v="96362"/>
    <n v="200821"/>
    <m/>
    <n v="0.99390243902439024"/>
    <n v="0.90947148090005236"/>
    <m/>
    <m/>
    <m/>
  </r>
  <r>
    <x v="35"/>
    <s v="C-IV"/>
    <x v="0"/>
    <x v="6"/>
    <x v="6"/>
    <s v="2017/18"/>
    <n v="2127"/>
    <n v="4659"/>
    <m/>
    <n v="0.94308943089430897"/>
    <n v="0.9"/>
    <m/>
    <m/>
    <m/>
  </r>
  <r>
    <x v="36"/>
    <s v="C-IV"/>
    <x v="0"/>
    <x v="6"/>
    <x v="6"/>
    <s v="2017/18"/>
    <n v="161011"/>
    <n v="348552"/>
    <m/>
    <n v="0.98870588235294121"/>
    <n v="0.88744372186093046"/>
    <m/>
    <m/>
    <m/>
  </r>
  <r>
    <x v="37"/>
    <s v="CalWIN"/>
    <x v="0"/>
    <x v="6"/>
    <x v="6"/>
    <s v="2017/18"/>
    <n v="132859"/>
    <n v="262987"/>
    <m/>
    <n v="0.97724550898203588"/>
    <n v="0.96171874999999996"/>
    <m/>
    <m/>
    <m/>
  </r>
  <r>
    <x v="38"/>
    <s v="CalWIN"/>
    <x v="0"/>
    <x v="6"/>
    <x v="6"/>
    <s v="2017/18"/>
    <n v="33498"/>
    <n v="49803"/>
    <m/>
    <n v="0.97081306462821404"/>
    <n v="0.66864784546805345"/>
    <m/>
    <m/>
    <m/>
  </r>
  <r>
    <x v="39"/>
    <s v="C-IV"/>
    <x v="0"/>
    <x v="6"/>
    <x v="6"/>
    <s v="2017/18"/>
    <n v="46664"/>
    <n v="102602"/>
    <m/>
    <n v="0.98107714701601167"/>
    <n v="0.90444930707512761"/>
    <m/>
    <m/>
    <m/>
  </r>
  <r>
    <x v="40"/>
    <s v="CalWIN"/>
    <x v="0"/>
    <x v="6"/>
    <x v="6"/>
    <s v="2017/18"/>
    <n v="9469"/>
    <n v="16415"/>
    <m/>
    <n v="0.96008869179600886"/>
    <n v="0.95406360424028269"/>
    <m/>
    <m/>
    <m/>
  </r>
  <r>
    <x v="41"/>
    <s v="CalWIN"/>
    <x v="0"/>
    <x v="6"/>
    <x v="6"/>
    <s v="2017/18"/>
    <n v="13072"/>
    <n v="24923"/>
    <m/>
    <n v="0.97588126159554733"/>
    <n v="0.9353932584269663"/>
    <m/>
    <m/>
    <m/>
  </r>
  <r>
    <x v="42"/>
    <s v="CalWIN"/>
    <x v="0"/>
    <x v="6"/>
    <x v="6"/>
    <s v="2017/18"/>
    <n v="19890"/>
    <n v="39123"/>
    <m/>
    <n v="0.81601731601731609"/>
    <n v="0.89189189189189189"/>
    <m/>
    <m/>
    <m/>
  </r>
  <r>
    <x v="43"/>
    <s v="CalWIN"/>
    <x v="0"/>
    <x v="6"/>
    <x v="6"/>
    <s v="2017/18"/>
    <n v="45365"/>
    <n v="87007"/>
    <m/>
    <n v="0.99261538461538457"/>
    <n v="0.97373358348968109"/>
    <m/>
    <m/>
    <m/>
  </r>
  <r>
    <x v="44"/>
    <s v="CalWIN"/>
    <x v="0"/>
    <x v="6"/>
    <x v="6"/>
    <s v="2017/18"/>
    <n v="14583"/>
    <n v="26016"/>
    <m/>
    <n v="0.96562032884902838"/>
    <n v="0.96539792387543255"/>
    <m/>
    <m/>
    <m/>
  </r>
  <r>
    <x v="45"/>
    <s v="C-IV"/>
    <x v="0"/>
    <x v="6"/>
    <x v="6"/>
    <s v="2017/18"/>
    <n v="12367"/>
    <n v="23062"/>
    <m/>
    <n v="0.93834586466165415"/>
    <n v="0.95029821073558651"/>
    <m/>
    <m/>
    <m/>
  </r>
  <r>
    <x v="46"/>
    <s v="C-IV"/>
    <x v="0"/>
    <x v="6"/>
    <x v="6"/>
    <s v="2017/18"/>
    <n v="153"/>
    <n v="259"/>
    <m/>
    <n v="1"/>
    <n v="1"/>
    <m/>
    <m/>
    <m/>
  </r>
  <r>
    <x v="47"/>
    <s v="C-IV"/>
    <x v="0"/>
    <x v="6"/>
    <x v="6"/>
    <s v="2017/18"/>
    <n v="3127"/>
    <n v="6419"/>
    <m/>
    <n v="0.93121693121693117"/>
    <n v="0.88524590163934425"/>
    <m/>
    <m/>
    <m/>
  </r>
  <r>
    <x v="48"/>
    <s v="CalWIN"/>
    <x v="0"/>
    <x v="6"/>
    <x v="6"/>
    <s v="2017/18"/>
    <n v="20761"/>
    <n v="38145"/>
    <m/>
    <n v="0.9719626168224299"/>
    <n v="0.95833333333333337"/>
    <m/>
    <m/>
    <m/>
  </r>
  <r>
    <x v="49"/>
    <s v="CalWIN"/>
    <x v="0"/>
    <x v="6"/>
    <x v="6"/>
    <s v="2017/18"/>
    <n v="16778"/>
    <n v="29264"/>
    <m/>
    <n v="0.9401408450704225"/>
    <n v="0.5461538461538461"/>
    <m/>
    <m/>
    <m/>
  </r>
  <r>
    <x v="50"/>
    <s v="C-IV"/>
    <x v="0"/>
    <x v="6"/>
    <x v="6"/>
    <s v="2017/18"/>
    <n v="38318"/>
    <n v="80036"/>
    <m/>
    <n v="0.97318007662835249"/>
    <n v="0.9395562356541699"/>
    <m/>
    <m/>
    <m/>
  </r>
  <r>
    <x v="51"/>
    <s v="C-IV"/>
    <x v="0"/>
    <x v="6"/>
    <x v="6"/>
    <s v="2017/18"/>
    <n v="5374"/>
    <n v="12262"/>
    <m/>
    <n v="0.98207885304659504"/>
    <n v="0.94690265486725667"/>
    <m/>
    <m/>
    <m/>
  </r>
  <r>
    <x v="52"/>
    <s v="C-IV"/>
    <x v="0"/>
    <x v="6"/>
    <x v="6"/>
    <s v="2017/18"/>
    <n v="4184"/>
    <n v="8982"/>
    <m/>
    <n v="0.92405063291139244"/>
    <n v="0.94565217391304346"/>
    <m/>
    <m/>
    <m/>
  </r>
  <r>
    <x v="53"/>
    <s v="C-IV"/>
    <x v="0"/>
    <x v="6"/>
    <x v="6"/>
    <s v="2017/18"/>
    <n v="990"/>
    <n v="1673"/>
    <m/>
    <n v="0.9137931034482758"/>
    <n v="0.86"/>
    <m/>
    <m/>
    <m/>
  </r>
  <r>
    <x v="54"/>
    <s v="CalWIN"/>
    <x v="0"/>
    <x v="6"/>
    <x v="6"/>
    <s v="2017/18"/>
    <n v="51376"/>
    <n v="117240"/>
    <m/>
    <n v="0.98858146684233639"/>
    <n v="0.78510028653295127"/>
    <m/>
    <m/>
    <m/>
  </r>
  <r>
    <x v="55"/>
    <s v="C-IV"/>
    <x v="0"/>
    <x v="6"/>
    <x v="6"/>
    <s v="2017/18"/>
    <n v="2679"/>
    <n v="4702"/>
    <m/>
    <n v="0.97315436241610742"/>
    <n v="0.9553571428571429"/>
    <m/>
    <m/>
    <m/>
  </r>
  <r>
    <x v="56"/>
    <s v="CalWIN"/>
    <x v="0"/>
    <x v="6"/>
    <x v="6"/>
    <s v="2017/18"/>
    <n v="34548"/>
    <n v="67471"/>
    <m/>
    <n v="0.98361650485436891"/>
    <n v="0.97121535181236673"/>
    <m/>
    <m/>
    <m/>
  </r>
  <r>
    <x v="57"/>
    <s v="CalWIN"/>
    <x v="0"/>
    <x v="6"/>
    <x v="6"/>
    <s v="2017/18"/>
    <n v="10145"/>
    <n v="18544"/>
    <m/>
    <n v="0.85263157894736841"/>
    <n v="0.90821256038647347"/>
    <m/>
    <m/>
    <m/>
  </r>
  <r>
    <x v="58"/>
    <s v="C-IV"/>
    <x v="0"/>
    <x v="6"/>
    <x v="6"/>
    <s v="2017/18"/>
    <n v="6053"/>
    <n v="12884"/>
    <m/>
    <n v="0.98774509803921573"/>
    <n v="0.97222222222222221"/>
    <m/>
    <m/>
    <m/>
  </r>
  <r>
    <x v="0"/>
    <s v="n/a"/>
    <x v="12"/>
    <x v="6"/>
    <x v="6"/>
    <s v="2017/18"/>
    <n v="1959612"/>
    <n v="4008084"/>
    <m/>
    <n v="0.98094222022572852"/>
    <n v="0.90998728960443709"/>
    <m/>
    <m/>
    <m/>
  </r>
  <r>
    <x v="1"/>
    <s v="CalWIN"/>
    <x v="12"/>
    <x v="6"/>
    <x v="6"/>
    <s v="2017/18"/>
    <n v="55019"/>
    <n v="103106"/>
    <m/>
    <n v="0.98415374241402565"/>
    <n v="0.970873786407767"/>
    <m/>
    <m/>
    <m/>
  </r>
  <r>
    <x v="2"/>
    <s v="C-IV"/>
    <x v="12"/>
    <x v="6"/>
    <x v="6"/>
    <s v="2017/18"/>
    <n v="79"/>
    <n v="141"/>
    <m/>
    <n v="1"/>
    <n v="0.66666666666666663"/>
    <m/>
    <m/>
    <m/>
  </r>
  <r>
    <x v="3"/>
    <s v="C-IV"/>
    <x v="12"/>
    <x v="6"/>
    <x v="6"/>
    <s v="2017/18"/>
    <n v="1571"/>
    <n v="2838"/>
    <m/>
    <n v="0.98648648648648651"/>
    <n v="0.97959183673469385"/>
    <m/>
    <m/>
    <m/>
  </r>
  <r>
    <x v="4"/>
    <s v="C-IV"/>
    <x v="12"/>
    <x v="6"/>
    <x v="6"/>
    <s v="2017/18"/>
    <n v="16903"/>
    <n v="30858"/>
    <m/>
    <n v="0.89900249376558605"/>
    <n v="0.97044334975369462"/>
    <m/>
    <m/>
    <m/>
  </r>
  <r>
    <x v="5"/>
    <s v="C-IV"/>
    <x v="12"/>
    <x v="6"/>
    <x v="6"/>
    <s v="2017/18"/>
    <n v="2732"/>
    <n v="4961"/>
    <m/>
    <n v="0.97560975609756095"/>
    <n v="0.97333333333333338"/>
    <m/>
    <m/>
    <m/>
  </r>
  <r>
    <x v="6"/>
    <s v="C-IV"/>
    <x v="12"/>
    <x v="6"/>
    <x v="6"/>
    <s v="2017/18"/>
    <n v="672"/>
    <n v="1475"/>
    <m/>
    <n v="0.94117647058823528"/>
    <n v="0.80952380952380953"/>
    <m/>
    <m/>
    <m/>
  </r>
  <r>
    <x v="7"/>
    <s v="CalWIN"/>
    <x v="12"/>
    <x v="6"/>
    <x v="6"/>
    <s v="2017/18"/>
    <n v="30879"/>
    <n v="61557"/>
    <m/>
    <n v="0.97599164926931103"/>
    <n v="0.97228144989339016"/>
    <m/>
    <m/>
    <m/>
  </r>
  <r>
    <x v="8"/>
    <s v="C-IV"/>
    <x v="12"/>
    <x v="6"/>
    <x v="6"/>
    <s v="2017/18"/>
    <n v="2571"/>
    <n v="5134"/>
    <m/>
    <n v="1"/>
    <n v="0.91578947368421049"/>
    <m/>
    <m/>
    <m/>
  </r>
  <r>
    <x v="9"/>
    <s v="C-IV"/>
    <x v="12"/>
    <x v="6"/>
    <x v="6"/>
    <s v="2017/18"/>
    <n v="6459"/>
    <n v="11192"/>
    <m/>
    <n v="0.97435897435897434"/>
    <n v="1"/>
    <m/>
    <m/>
    <m/>
  </r>
  <r>
    <x v="10"/>
    <s v="CalWIN"/>
    <x v="12"/>
    <x v="6"/>
    <x v="6"/>
    <s v="2017/18"/>
    <n v="89727"/>
    <n v="205940"/>
    <m/>
    <n v="0.93538913362701903"/>
    <n v="0.64233576642335766"/>
    <m/>
    <m/>
    <m/>
  </r>
  <r>
    <x v="11"/>
    <s v="C-IV"/>
    <x v="12"/>
    <x v="6"/>
    <x v="6"/>
    <s v="2017/18"/>
    <n v="1487"/>
    <n v="3411"/>
    <m/>
    <n v="0.98550724637681164"/>
    <n v="0.95121951219512191"/>
    <m/>
    <m/>
    <m/>
  </r>
  <r>
    <x v="12"/>
    <s v="C-IV"/>
    <x v="12"/>
    <x v="6"/>
    <x v="6"/>
    <s v="2017/18"/>
    <n v="11801"/>
    <n v="19743"/>
    <m/>
    <n v="0.9765625"/>
    <n v="0.9703504043126685"/>
    <m/>
    <m/>
    <m/>
  </r>
  <r>
    <x v="13"/>
    <s v="C-IV"/>
    <x v="12"/>
    <x v="6"/>
    <x v="6"/>
    <s v="2017/18"/>
    <n v="16932"/>
    <n v="40404"/>
    <m/>
    <n v="0.99039999999999995"/>
    <n v="0.92225201072386054"/>
    <m/>
    <m/>
    <m/>
  </r>
  <r>
    <x v="14"/>
    <s v="C-IV"/>
    <x v="12"/>
    <x v="6"/>
    <x v="6"/>
    <s v="2017/18"/>
    <n v="1042"/>
    <n v="1996"/>
    <m/>
    <n v="1"/>
    <n v="0.94444444444444442"/>
    <m/>
    <m/>
    <m/>
  </r>
  <r>
    <x v="15"/>
    <s v="C-IV"/>
    <x v="12"/>
    <x v="6"/>
    <x v="6"/>
    <s v="2017/18"/>
    <n v="67900"/>
    <n v="156899"/>
    <m/>
    <n v="0.98148148148148151"/>
    <n v="0.92317939609236233"/>
    <m/>
    <m/>
    <m/>
  </r>
  <r>
    <x v="16"/>
    <s v="C-IV"/>
    <x v="12"/>
    <x v="6"/>
    <x v="6"/>
    <s v="2017/18"/>
    <n v="10635"/>
    <n v="23910"/>
    <m/>
    <n v="1"/>
    <n v="0.96242774566473988"/>
    <m/>
    <m/>
    <m/>
  </r>
  <r>
    <x v="17"/>
    <s v="C-IV"/>
    <x v="12"/>
    <x v="6"/>
    <x v="6"/>
    <s v="2017/18"/>
    <n v="6303"/>
    <n v="11576"/>
    <m/>
    <n v="0.94776119402985071"/>
    <n v="0.91443850267379678"/>
    <m/>
    <m/>
    <m/>
  </r>
  <r>
    <x v="18"/>
    <s v="C-IV"/>
    <x v="12"/>
    <x v="6"/>
    <x v="6"/>
    <s v="2017/18"/>
    <n v="1521"/>
    <n v="3025"/>
    <m/>
    <n v="0.94871794871794868"/>
    <n v="0.76271186440677963"/>
    <m/>
    <m/>
    <m/>
  </r>
  <r>
    <x v="19"/>
    <s v="LRS"/>
    <x v="12"/>
    <x v="6"/>
    <x v="6"/>
    <s v="2017/18"/>
    <n v="547867"/>
    <n v="1083101"/>
    <m/>
    <n v="0.99228791773778924"/>
    <n v="0.91552887424958829"/>
    <m/>
    <m/>
    <m/>
  </r>
  <r>
    <x v="20"/>
    <s v="C-IV"/>
    <x v="12"/>
    <x v="6"/>
    <x v="6"/>
    <s v="2017/18"/>
    <n v="11348"/>
    <n v="27455"/>
    <m/>
    <n v="0.99214659685863871"/>
    <n v="0.98734177215189878"/>
    <m/>
    <m/>
    <m/>
  </r>
  <r>
    <x v="21"/>
    <s v="C-IV"/>
    <x v="12"/>
    <x v="6"/>
    <x v="6"/>
    <s v="2017/18"/>
    <n v="5987"/>
    <n v="9836"/>
    <m/>
    <n v="0.98566308243727596"/>
    <n v="0.92655367231638419"/>
    <m/>
    <m/>
    <m/>
  </r>
  <r>
    <x v="22"/>
    <s v="C-IV"/>
    <x v="12"/>
    <x v="6"/>
    <x v="6"/>
    <s v="2017/18"/>
    <n v="1041"/>
    <n v="1930"/>
    <m/>
    <n v="0.94444444444444442"/>
    <n v="0.96"/>
    <m/>
    <m/>
    <m/>
  </r>
  <r>
    <x v="23"/>
    <s v="C-IV"/>
    <x v="12"/>
    <x v="6"/>
    <x v="6"/>
    <s v="2017/18"/>
    <n v="6170"/>
    <n v="11424"/>
    <m/>
    <n v="0.92328767123287669"/>
    <n v="0.90036900369003692"/>
    <m/>
    <m/>
    <m/>
  </r>
  <r>
    <x v="24"/>
    <s v="C-IV"/>
    <x v="12"/>
    <x v="6"/>
    <x v="6"/>
    <s v="2017/18"/>
    <n v="22977"/>
    <n v="52829"/>
    <m/>
    <n v="0.98982188295165396"/>
    <n v="0.96969696969696972"/>
    <m/>
    <m/>
    <m/>
  </r>
  <r>
    <x v="25"/>
    <s v="C-IV"/>
    <x v="12"/>
    <x v="6"/>
    <x v="6"/>
    <s v="2017/18"/>
    <n v="595"/>
    <n v="1224"/>
    <m/>
    <n v="1"/>
    <n v="0.94736842105263153"/>
    <m/>
    <m/>
    <m/>
  </r>
  <r>
    <x v="26"/>
    <s v="C-IV"/>
    <x v="12"/>
    <x v="6"/>
    <x v="6"/>
    <s v="2017/18"/>
    <n v="403"/>
    <n v="698"/>
    <m/>
    <n v="1"/>
    <n v="0.94117647058823528"/>
    <m/>
    <m/>
    <m/>
  </r>
  <r>
    <x v="27"/>
    <s v="C-IV"/>
    <x v="12"/>
    <x v="6"/>
    <x v="6"/>
    <s v="2017/18"/>
    <n v="21349"/>
    <n v="47635"/>
    <m/>
    <n v="0.99575911789652249"/>
    <n v="0.93610223642172519"/>
    <m/>
    <m/>
    <m/>
  </r>
  <r>
    <x v="28"/>
    <s v="C-IV"/>
    <x v="12"/>
    <x v="6"/>
    <x v="6"/>
    <s v="2017/18"/>
    <n v="3052"/>
    <n v="6077"/>
    <m/>
    <n v="0.93865030674846628"/>
    <n v="0.89622641509433965"/>
    <m/>
    <m/>
    <m/>
  </r>
  <r>
    <x v="29"/>
    <s v="C-IV"/>
    <x v="12"/>
    <x v="6"/>
    <x v="6"/>
    <s v="2017/18"/>
    <n v="3964"/>
    <n v="6748"/>
    <m/>
    <n v="0.77653631284916202"/>
    <n v="0.72916666666666663"/>
    <m/>
    <m/>
    <m/>
  </r>
  <r>
    <x v="30"/>
    <s v="CalWIN"/>
    <x v="12"/>
    <x v="6"/>
    <x v="6"/>
    <s v="2017/18"/>
    <n v="111321"/>
    <n v="224263"/>
    <m/>
    <n v="0.99197145405887599"/>
    <n v="0.99799196787148592"/>
    <m/>
    <m/>
    <m/>
  </r>
  <r>
    <x v="31"/>
    <s v="CalWIN"/>
    <x v="12"/>
    <x v="6"/>
    <x v="6"/>
    <s v="2017/18"/>
    <n v="8387"/>
    <n v="15593"/>
    <m/>
    <n v="1"/>
    <n v="0.8867924528301887"/>
    <m/>
    <m/>
    <m/>
  </r>
  <r>
    <x v="32"/>
    <s v="C-IV"/>
    <x v="12"/>
    <x v="6"/>
    <x v="6"/>
    <s v="2017/18"/>
    <n v="1191"/>
    <n v="2189"/>
    <m/>
    <n v="0.984375"/>
    <n v="0.83783783783783783"/>
    <m/>
    <m/>
    <m/>
  </r>
  <r>
    <x v="33"/>
    <s v="C-IV"/>
    <x v="12"/>
    <x v="6"/>
    <x v="6"/>
    <s v="2017/18"/>
    <n v="117728"/>
    <n v="258144"/>
    <m/>
    <n v="0.98698299391140043"/>
    <n v="0.89484240687679084"/>
    <m/>
    <m/>
    <m/>
  </r>
  <r>
    <x v="34"/>
    <s v="CalWIN"/>
    <x v="12"/>
    <x v="6"/>
    <x v="6"/>
    <s v="2017/18"/>
    <n v="94749"/>
    <n v="199442"/>
    <m/>
    <n v="0.99282678002125402"/>
    <n v="0.79260543038705955"/>
    <m/>
    <m/>
    <m/>
  </r>
  <r>
    <x v="35"/>
    <s v="C-IV"/>
    <x v="12"/>
    <x v="6"/>
    <x v="6"/>
    <s v="2017/18"/>
    <n v="2126"/>
    <n v="4655"/>
    <m/>
    <n v="1"/>
    <n v="0.97014925373134331"/>
    <m/>
    <m/>
    <m/>
  </r>
  <r>
    <x v="36"/>
    <s v="C-IV"/>
    <x v="12"/>
    <x v="6"/>
    <x v="6"/>
    <s v="2017/18"/>
    <n v="158956"/>
    <n v="344997"/>
    <m/>
    <n v="0.99007148530579825"/>
    <n v="0.92475014697236924"/>
    <m/>
    <m/>
    <m/>
  </r>
  <r>
    <x v="37"/>
    <s v="CalWIN"/>
    <x v="12"/>
    <x v="6"/>
    <x v="6"/>
    <s v="2017/18"/>
    <n v="131584"/>
    <n v="260795"/>
    <m/>
    <n v="0.97836266752785406"/>
    <n v="0.96685971685971683"/>
    <m/>
    <m/>
    <m/>
  </r>
  <r>
    <x v="38"/>
    <s v="CalWIN"/>
    <x v="12"/>
    <x v="6"/>
    <x v="6"/>
    <s v="2017/18"/>
    <n v="32822"/>
    <n v="49160"/>
    <m/>
    <n v="0.96145124716553287"/>
    <n v="0.62618595825426948"/>
    <m/>
    <m/>
    <m/>
  </r>
  <r>
    <x v="39"/>
    <s v="C-IV"/>
    <x v="12"/>
    <x v="6"/>
    <x v="6"/>
    <s v="2017/18"/>
    <n v="46250"/>
    <n v="101739"/>
    <m/>
    <n v="0.97490452809601746"/>
    <n v="0.89606035205364631"/>
    <m/>
    <m/>
    <m/>
  </r>
  <r>
    <x v="40"/>
    <s v="CalWIN"/>
    <x v="12"/>
    <x v="6"/>
    <x v="6"/>
    <s v="2017/18"/>
    <n v="9358"/>
    <n v="16330"/>
    <m/>
    <n v="0.97698209718670082"/>
    <n v="0.9641255605381166"/>
    <m/>
    <m/>
    <m/>
  </r>
  <r>
    <x v="41"/>
    <s v="CalWIN"/>
    <x v="12"/>
    <x v="6"/>
    <x v="6"/>
    <s v="2017/18"/>
    <n v="12771"/>
    <n v="24271"/>
    <m/>
    <n v="0.99356223175965663"/>
    <n v="0.90169491525423728"/>
    <m/>
    <m/>
    <m/>
  </r>
  <r>
    <x v="42"/>
    <s v="CalWIN"/>
    <x v="12"/>
    <x v="6"/>
    <x v="6"/>
    <s v="2017/18"/>
    <n v="20269"/>
    <n v="39690"/>
    <m/>
    <n v="0.88064516129032255"/>
    <n v="0.88732394366197187"/>
    <m/>
    <m/>
    <m/>
  </r>
  <r>
    <x v="43"/>
    <s v="CalWIN"/>
    <x v="12"/>
    <x v="6"/>
    <x v="6"/>
    <s v="2017/18"/>
    <n v="44319"/>
    <n v="84952"/>
    <m/>
    <n v="0.99398395721925137"/>
    <n v="0.97040169133192389"/>
    <m/>
    <m/>
    <m/>
  </r>
  <r>
    <x v="44"/>
    <s v="CalWIN"/>
    <x v="12"/>
    <x v="6"/>
    <x v="6"/>
    <s v="2017/18"/>
    <n v="14771"/>
    <n v="26244"/>
    <m/>
    <n v="0.96768707482993199"/>
    <n v="0.99065420560747663"/>
    <m/>
    <m/>
    <m/>
  </r>
  <r>
    <x v="45"/>
    <s v="C-IV"/>
    <x v="12"/>
    <x v="6"/>
    <x v="6"/>
    <s v="2017/18"/>
    <n v="12235"/>
    <n v="22870"/>
    <m/>
    <n v="0.9373848987108655"/>
    <n v="0.93398533007334961"/>
    <m/>
    <m/>
    <m/>
  </r>
  <r>
    <x v="46"/>
    <s v="C-IV"/>
    <x v="12"/>
    <x v="6"/>
    <x v="6"/>
    <s v="2017/18"/>
    <n v="146"/>
    <n v="236"/>
    <m/>
    <n v="1"/>
    <n v="0.75"/>
    <m/>
    <m/>
    <m/>
  </r>
  <r>
    <x v="47"/>
    <s v="C-IV"/>
    <x v="12"/>
    <x v="6"/>
    <x v="6"/>
    <s v="2017/18"/>
    <n v="3165"/>
    <n v="6506"/>
    <m/>
    <n v="0.9375"/>
    <n v="0.92920353982300885"/>
    <m/>
    <m/>
    <m/>
  </r>
  <r>
    <x v="48"/>
    <s v="CalWIN"/>
    <x v="12"/>
    <x v="6"/>
    <x v="6"/>
    <s v="2017/18"/>
    <n v="20387"/>
    <n v="37788"/>
    <m/>
    <n v="0.97880299251870329"/>
    <n v="0.96"/>
    <m/>
    <m/>
    <m/>
  </r>
  <r>
    <x v="49"/>
    <s v="CalWIN"/>
    <x v="12"/>
    <x v="6"/>
    <x v="6"/>
    <s v="2017/18"/>
    <n v="16488"/>
    <n v="28908"/>
    <m/>
    <n v="0.96502057613168724"/>
    <n v="0.48958333333333331"/>
    <m/>
    <m/>
    <m/>
  </r>
  <r>
    <x v="50"/>
    <s v="C-IV"/>
    <x v="12"/>
    <x v="6"/>
    <x v="6"/>
    <s v="2017/18"/>
    <n v="37759"/>
    <n v="79077"/>
    <m/>
    <n v="0.97846332945285219"/>
    <n v="0.9303525365434222"/>
    <m/>
    <m/>
    <m/>
  </r>
  <r>
    <x v="51"/>
    <s v="C-IV"/>
    <x v="12"/>
    <x v="6"/>
    <x v="6"/>
    <s v="2017/18"/>
    <n v="5348"/>
    <n v="12267"/>
    <m/>
    <n v="0.9946236559139785"/>
    <n v="0.96350364963503654"/>
    <m/>
    <m/>
    <m/>
  </r>
  <r>
    <x v="52"/>
    <s v="C-IV"/>
    <x v="12"/>
    <x v="6"/>
    <x v="6"/>
    <s v="2017/18"/>
    <n v="4126"/>
    <n v="8944"/>
    <m/>
    <n v="0.87719298245614041"/>
    <n v="0.97247706422018354"/>
    <m/>
    <m/>
    <m/>
  </r>
  <r>
    <x v="53"/>
    <s v="C-IV"/>
    <x v="12"/>
    <x v="6"/>
    <x v="6"/>
    <s v="2017/18"/>
    <n v="969"/>
    <n v="1655"/>
    <m/>
    <n v="1"/>
    <n v="0.87096774193548387"/>
    <m/>
    <m/>
    <m/>
  </r>
  <r>
    <x v="54"/>
    <s v="CalWIN"/>
    <x v="12"/>
    <x v="6"/>
    <x v="6"/>
    <s v="2017/18"/>
    <n v="50651"/>
    <n v="117219"/>
    <m/>
    <n v="0.99171597633136099"/>
    <n v="0.80288461538461542"/>
    <m/>
    <m/>
    <m/>
  </r>
  <r>
    <x v="55"/>
    <s v="C-IV"/>
    <x v="12"/>
    <x v="6"/>
    <x v="6"/>
    <s v="2017/18"/>
    <n v="2661"/>
    <n v="4669"/>
    <m/>
    <n v="1"/>
    <n v="0.95238095238095233"/>
    <m/>
    <m/>
    <m/>
  </r>
  <r>
    <x v="56"/>
    <s v="CalWIN"/>
    <x v="12"/>
    <x v="6"/>
    <x v="6"/>
    <s v="2017/18"/>
    <n v="34044"/>
    <n v="67156"/>
    <m/>
    <n v="0.97786720321931586"/>
    <n v="0.95780590717299574"/>
    <m/>
    <m/>
    <m/>
  </r>
  <r>
    <x v="57"/>
    <s v="CalWIN"/>
    <x v="12"/>
    <x v="6"/>
    <x v="6"/>
    <s v="2017/18"/>
    <n v="10064"/>
    <n v="18382"/>
    <m/>
    <n v="0.83300198807157055"/>
    <n v="0.85606060606060608"/>
    <m/>
    <m/>
    <m/>
  </r>
  <r>
    <x v="58"/>
    <s v="C-IV"/>
    <x v="12"/>
    <x v="6"/>
    <x v="6"/>
    <s v="2017/18"/>
    <n v="5981"/>
    <n v="12820"/>
    <m/>
    <n v="0.99270072992700731"/>
    <n v="0.95833333333333337"/>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2"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3">
        <item h="1" x="0"/>
        <item h="1" x="1"/>
        <item h="1" x="2"/>
        <item h="1" x="3"/>
        <item h="1" x="4"/>
        <item h="1" x="5"/>
        <item h="1" x="6"/>
        <item h="1" x="7"/>
        <item h="1" x="8"/>
        <item h="1" x="9"/>
        <item h="1" x="10"/>
        <item h="1" x="11"/>
        <item x="12"/>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6"/>
      <x v="12"/>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5" firstHeaderRow="1" firstDataRow="2" firstDataCol="2"/>
  <pivotFields count="14">
    <pivotField axis="axisCol" compact="0" outline="0" showAll="0" defaultSubtotal="0">
      <items count="59">
        <item h="1" x="0"/>
        <item h="1" x="1"/>
        <item h="1" x="2"/>
        <item h="1" x="3"/>
        <item h="1" x="4"/>
        <item h="1" x="5"/>
        <item x="6"/>
        <item h="1" x="7"/>
        <item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3">
        <item x="0"/>
        <item h="1" x="1"/>
        <item h="1" x="2"/>
        <item h="1" x="3"/>
        <item h="1" x="4"/>
        <item h="1" x="5"/>
        <item h="1" x="6"/>
        <item h="1" x="7"/>
        <item h="1" x="8"/>
        <item h="1" x="9"/>
        <item h="1" x="10"/>
        <item h="1" x="11"/>
        <item x="12"/>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6"/>
      <x/>
    </i>
    <i r="1">
      <x v="12"/>
    </i>
  </rowItems>
  <colFields count="1">
    <field x="0"/>
  </colFields>
  <colItems count="3">
    <i>
      <x v="6"/>
    </i>
    <i>
      <x v="8"/>
    </i>
    <i>
      <x v="11"/>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37">
      <pivotArea outline="0" collapsedLevelsAreSubtotals="1" fieldPosition="0"/>
    </format>
    <format dxfId="236">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39">
      <pivotArea outline="0" collapsedLevelsAreSubtotals="1" fieldPosition="0">
        <references count="2">
          <reference field="4294967294" count="1" selected="0">
            <x v="0"/>
          </reference>
          <reference field="0" count="0" selected="0"/>
        </references>
      </pivotArea>
    </format>
    <format dxfId="238">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40">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41">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3">
        <item x="9"/>
        <item x="10"/>
        <item x="11"/>
        <item x="0"/>
        <item x="1"/>
        <item x="2"/>
        <item x="3"/>
        <item x="4"/>
        <item x="5"/>
        <item x="6"/>
        <item x="7"/>
        <item x="8"/>
        <item x="12"/>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i>
    <i>
      <x v="1"/>
    </i>
    <i>
      <x v="7"/>
    </i>
  </colItems>
  <dataFields count="1">
    <dataField name="Active Error Rate" fld="13" baseField="4" baseItem="0" numFmtId="164"/>
  </dataFields>
  <chartFormats count="14">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3">
        <item h="1" x="0"/>
        <item h="1" x="1"/>
        <item x="2"/>
        <item x="3"/>
        <item x="4"/>
        <item h="1" x="5"/>
        <item h="1" x="6"/>
        <item h="1" x="7"/>
        <item h="1" x="8"/>
        <item h="1" x="9"/>
        <item h="1" x="10"/>
        <item h="1" x="11"/>
        <item h="1" x="12"/>
      </items>
    </pivotField>
    <pivotField axis="axisRow" compact="0" outline="0" showAll="0" defaultSubtotal="0">
      <items count="7">
        <item h="1" x="0"/>
        <item h="1" x="1"/>
        <item h="1" x="2"/>
        <item x="3"/>
        <item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35">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50" firstHeaderRow="1" firstDataRow="2" firstDataCol="2"/>
  <pivotFields count="14">
    <pivotField axis="axisCol" compact="0" showAll="0" defaultSubtotal="0">
      <items count="5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3">
        <item x="0"/>
        <item h="1" x="1"/>
        <item h="1" x="2"/>
        <item h="1" x="3"/>
        <item h="1" x="4"/>
        <item h="1" x="5"/>
        <item h="1" x="6"/>
        <item h="1" x="7"/>
        <item h="1" x="8"/>
        <item h="1" x="9"/>
        <item h="1" x="10"/>
        <item h="1" x="11"/>
        <item x="12"/>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2"/>
    </i>
  </rowItems>
  <colFields count="1">
    <field x="0"/>
  </colFields>
  <colItems count="1">
    <i>
      <x v="2"/>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5">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6">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8">
      <pivotArea outline="0" collapsedLevelsAreSubtotals="1" fieldPosition="0"/>
    </format>
    <format dxfId="207">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90_Day_Churn_Pct_of_Reapps" fld="8" baseField="2" baseItem="0"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30_Day_Churn_Pct_of_Reapps" fld="7" baseField="2" baseItem="0"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E15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90_Day_Pct_of_Sched_Recerts" fld="10" baseField="3" baseItem="4"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E102"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30_Day_Pct_of_Sched_Recerts" fld="9" baseField="3" baseItem="4"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3">
        <item x="0"/>
        <item x="1"/>
        <item x="2"/>
        <item h="1" x="3"/>
        <item h="1" x="4"/>
        <item h="1" x="5"/>
        <item h="1" x="6"/>
        <item h="1" x="7"/>
        <item h="1" x="8"/>
        <item h="1" x="9"/>
        <item h="1" x="10"/>
        <item h="1" x="11"/>
        <item h="1" x="12"/>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55">
      <pivotArea collapsedLevelsAreSubtotals="1" fieldPosition="0">
        <references count="2">
          <reference field="2" count="0"/>
          <reference field="3" count="1" selected="0">
            <x v="0"/>
          </reference>
        </references>
      </pivotArea>
    </format>
    <format dxfId="154">
      <pivotArea collapsedLevelsAreSubtotals="1" fieldPosition="0">
        <references count="1">
          <reference field="3" count="1">
            <x v="1"/>
          </reference>
        </references>
      </pivotArea>
    </format>
    <format dxfId="153">
      <pivotArea collapsedLevelsAreSubtotals="1" fieldPosition="0">
        <references count="2">
          <reference field="2" count="0"/>
          <reference field="3" count="1" selected="0">
            <x v="1"/>
          </reference>
        </references>
      </pivotArea>
    </format>
    <format dxfId="152">
      <pivotArea collapsedLevelsAreSubtotals="1" fieldPosition="0">
        <references count="1">
          <reference field="3" count="1">
            <x v="2"/>
          </reference>
        </references>
      </pivotArea>
    </format>
    <format dxfId="151">
      <pivotArea collapsedLevelsAreSubtotals="1" fieldPosition="0">
        <references count="2">
          <reference field="2" count="0"/>
          <reference field="3" count="1" selected="0">
            <x v="2"/>
          </reference>
        </references>
      </pivotArea>
    </format>
    <format dxfId="150">
      <pivotArea collapsedLevelsAreSubtotals="1" fieldPosition="0">
        <references count="1">
          <reference field="3" count="1">
            <x v="3"/>
          </reference>
        </references>
      </pivotArea>
    </format>
    <format dxfId="149">
      <pivotArea collapsedLevelsAreSubtotals="1" fieldPosition="0">
        <references count="2">
          <reference field="2" count="0"/>
          <reference field="3" count="1" selected="0">
            <x v="3"/>
          </reference>
        </references>
      </pivotArea>
    </format>
    <format dxfId="148">
      <pivotArea collapsedLevelsAreSubtotals="1" fieldPosition="0">
        <references count="1">
          <reference field="3" count="1">
            <x v="4"/>
          </reference>
        </references>
      </pivotArea>
    </format>
    <format dxfId="147">
      <pivotArea collapsedLevelsAreSubtotals="1" fieldPosition="0">
        <references count="2">
          <reference field="2" count="1">
            <x v="4"/>
          </reference>
          <reference field="3" count="1" selected="0">
            <x v="4"/>
          </reference>
        </references>
      </pivotArea>
    </format>
    <format dxfId="146">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SL_over_5_CY" fld="17" baseField="2" baseItem="3"/>
  </dataFields>
  <formats count="1">
    <format dxfId="156">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Children_under_18_CY" fld="16" baseField="2" baseItem="3" numFmtId="3"/>
  </dataFields>
  <formats count="2">
    <format dxfId="158">
      <pivotArea outline="0" collapsedLevelsAreSubtotals="1" fieldPosition="0"/>
    </format>
    <format dxfId="157">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lderly_60_plus_CY" fld="15" baseField="2" baseItem="3" numFmtId="3"/>
  </dataFields>
  <formats count="2">
    <format dxfId="160">
      <pivotArea outline="0" collapsedLevelsAreSubtotals="1" fieldPosition="0"/>
    </format>
    <format dxfId="15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Pop_CY" fld="14" baseField="2" baseItem="4"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10"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3">
        <item h="1" x="9"/>
        <item h="1" x="10"/>
        <item h="1" x="11"/>
        <item x="0"/>
        <item x="1"/>
        <item x="2"/>
        <item h="1" x="3"/>
        <item h="1" x="4"/>
        <item h="1" x="5"/>
        <item h="1" x="6"/>
        <item h="1" x="7"/>
        <item h="1" x="8"/>
        <item h="1" x="12"/>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4">
    <i>
      <x v="5"/>
    </i>
    <i r="1">
      <x v="3"/>
    </i>
    <i r="1">
      <x v="4"/>
    </i>
    <i r="1">
      <x v="5"/>
    </i>
  </rowItems>
  <colFields count="1">
    <field x="0"/>
  </colFields>
  <colItems count="2">
    <i>
      <x/>
    </i>
    <i>
      <x v="1"/>
    </i>
  </colItems>
  <dataFields count="1">
    <dataField name="Sum of Negative_Error_Rate" fld="12" baseField="4" baseItem="0" numFmtId="164"/>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12"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3">
        <item h="1" x="9"/>
        <item h="1" x="10"/>
        <item h="1" x="11"/>
        <item x="0"/>
        <item x="1"/>
        <item x="2"/>
        <item h="1" x="3"/>
        <item h="1" x="4"/>
        <item h="1" x="5"/>
        <item h="1" x="6"/>
        <item h="1" x="7"/>
        <item h="1" x="8"/>
        <item h="1" x="12"/>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4">
    <i>
      <x v="5"/>
    </i>
    <i r="1">
      <x v="3"/>
    </i>
    <i r="1">
      <x v="4"/>
    </i>
    <i r="1">
      <x v="5"/>
    </i>
  </rowItems>
  <colFields count="1">
    <field x="0"/>
  </colFields>
  <colItems count="2">
    <i>
      <x/>
    </i>
    <i>
      <x v="1"/>
    </i>
  </colItems>
  <dataFields count="1">
    <dataField name="Completed_Cases" fld="11" baseField="4" baseItem="0"/>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7"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 fld="7" baseField="2" baseItem="3" numFmtId="3"/>
  </dataFields>
  <formats count="10">
    <format dxfId="9">
      <pivotArea collapsedLevelsAreSubtotals="1" fieldPosition="0">
        <references count="2">
          <reference field="2" count="0"/>
          <reference field="3" count="1" selected="0">
            <x v="0"/>
          </reference>
        </references>
      </pivotArea>
    </format>
    <format dxfId="8">
      <pivotArea collapsedLevelsAreSubtotals="1" fieldPosition="0">
        <references count="1">
          <reference field="3" count="1">
            <x v="1"/>
          </reference>
        </references>
      </pivotArea>
    </format>
    <format dxfId="7">
      <pivotArea collapsedLevelsAreSubtotals="1" fieldPosition="0">
        <references count="2">
          <reference field="2" count="0"/>
          <reference field="3" count="1" selected="0">
            <x v="1"/>
          </reference>
        </references>
      </pivotArea>
    </format>
    <format dxfId="6">
      <pivotArea collapsedLevelsAreSubtotals="1" fieldPosition="0">
        <references count="1">
          <reference field="3" count="1">
            <x v="2"/>
          </reference>
        </references>
      </pivotArea>
    </format>
    <format dxfId="5">
      <pivotArea collapsedLevelsAreSubtotals="1" fieldPosition="0">
        <references count="2">
          <reference field="2" count="0"/>
          <reference field="3" count="1" selected="0">
            <x v="2"/>
          </reference>
        </references>
      </pivotArea>
    </format>
    <format dxfId="4">
      <pivotArea collapsedLevelsAreSubtotals="1" fieldPosition="0">
        <references count="1">
          <reference field="3" count="1">
            <x v="3"/>
          </reference>
        </references>
      </pivotArea>
    </format>
    <format dxfId="3">
      <pivotArea collapsedLevelsAreSubtotals="1" fieldPosition="0">
        <references count="2">
          <reference field="2" count="0"/>
          <reference field="3" count="1" selected="0">
            <x v="3"/>
          </reference>
        </references>
      </pivotArea>
    </format>
    <format dxfId="2">
      <pivotArea collapsedLevelsAreSubtotals="1" fieldPosition="0">
        <references count="1">
          <reference field="3" count="1">
            <x v="4"/>
          </reference>
        </references>
      </pivotArea>
    </format>
    <format dxfId="1">
      <pivotArea collapsedLevelsAreSubtotals="1" fieldPosition="0">
        <references count="2">
          <reference field="2" count="2">
            <x v="0"/>
            <x v="1"/>
          </reference>
          <reference field="3" count="1" selected="0">
            <x v="4"/>
          </reference>
        </references>
      </pivotArea>
    </format>
    <format dxfId="0">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_Pct" fld="8" baseField="2" baseItem="3" numFmtId="164"/>
  </dataFields>
  <formats count="10">
    <format dxfId="19">
      <pivotArea collapsedLevelsAreSubtotals="1" fieldPosition="0">
        <references count="2">
          <reference field="2" count="0"/>
          <reference field="3" count="1" selected="0">
            <x v="0"/>
          </reference>
        </references>
      </pivotArea>
    </format>
    <format dxfId="18">
      <pivotArea collapsedLevelsAreSubtotals="1" fieldPosition="0">
        <references count="1">
          <reference field="3" count="1">
            <x v="1"/>
          </reference>
        </references>
      </pivotArea>
    </format>
    <format dxfId="17">
      <pivotArea collapsedLevelsAreSubtotals="1" fieldPosition="0">
        <references count="2">
          <reference field="2" count="0"/>
          <reference field="3" count="1" selected="0">
            <x v="1"/>
          </reference>
        </references>
      </pivotArea>
    </format>
    <format dxfId="16">
      <pivotArea collapsedLevelsAreSubtotals="1" fieldPosition="0">
        <references count="1">
          <reference field="3" count="1">
            <x v="2"/>
          </reference>
        </references>
      </pivotArea>
    </format>
    <format dxfId="15">
      <pivotArea collapsedLevelsAreSubtotals="1" fieldPosition="0">
        <references count="2">
          <reference field="2" count="0"/>
          <reference field="3" count="1" selected="0">
            <x v="2"/>
          </reference>
        </references>
      </pivotArea>
    </format>
    <format dxfId="14">
      <pivotArea collapsedLevelsAreSubtotals="1" fieldPosition="0">
        <references count="1">
          <reference field="3" count="1">
            <x v="3"/>
          </reference>
        </references>
      </pivotArea>
    </format>
    <format dxfId="13">
      <pivotArea collapsedLevelsAreSubtotals="1" fieldPosition="0">
        <references count="2">
          <reference field="2" count="0"/>
          <reference field="3" count="1" selected="0">
            <x v="3"/>
          </reference>
        </references>
      </pivotArea>
    </format>
    <format dxfId="12">
      <pivotArea collapsedLevelsAreSubtotals="1" fieldPosition="0">
        <references count="1">
          <reference field="3" count="1">
            <x v="4"/>
          </reference>
        </references>
      </pivotArea>
    </format>
    <format dxfId="11">
      <pivotArea collapsedLevelsAreSubtotals="1" fieldPosition="0">
        <references count="2">
          <reference field="2" count="2">
            <x v="0"/>
            <x v="1"/>
          </reference>
          <reference field="3" count="1" selected="0">
            <x v="4"/>
          </reference>
        </references>
      </pivotArea>
    </format>
    <format dxfId="10">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MC_rec_CF_Pct" fld="6" baseField="0" baseItem="0" numFmtId="164"/>
  </dataFields>
  <formats count="1">
    <format dxfId="2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s="1"/>
        <i x="7"/>
        <i x="8" s="1"/>
        <i x="9"/>
        <i x="10"/>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3">
        <i x="0" s="1"/>
        <i x="12"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3">
        <i x="0"/>
        <i x="1"/>
        <i x="2" s="1"/>
        <i x="3" s="1"/>
        <i x="4" s="1"/>
        <i x="5"/>
        <i x="6"/>
        <i x="7"/>
        <i x="8"/>
        <i x="9"/>
        <i x="10"/>
        <i x="11"/>
        <i x="12"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s="1"/>
        <i x="4" s="1"/>
        <i x="5"/>
        <i x="6"/>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3">
        <i x="0" s="1"/>
        <i x="12"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s="1"/>
        <i x="2"/>
        <i x="3"/>
        <i x="4"/>
        <i x="5"/>
        <i x="6"/>
        <i x="7"/>
        <i x="8"/>
        <i x="9"/>
        <i x="10"/>
        <i x="11"/>
        <i x="12"/>
        <i x="13"/>
        <i x="14"/>
        <i x="15"/>
        <i x="16"/>
        <i x="17"/>
        <i x="18"/>
        <i x="19"/>
        <i x="20"/>
        <i x="2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i x="35"/>
        <i x="36" s="1"/>
        <i x="37" s="1"/>
        <i x="38"/>
        <i x="39"/>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i x="2"/>
        <i x="3"/>
        <i x="4"/>
        <i x="5"/>
        <i x="6"/>
        <i x="7"/>
        <i x="8"/>
        <i x="9"/>
        <i x="10"/>
        <i x="11"/>
        <i x="12"/>
        <i x="13"/>
        <i x="14"/>
        <i x="15"/>
        <i x="16"/>
        <i x="17"/>
        <i x="18"/>
        <i x="19"/>
        <i x="20"/>
        <i x="21"/>
        <i x="22"/>
        <i x="23"/>
        <i x="24"/>
        <i x="25"/>
        <i x="26"/>
        <i x="27"/>
        <i x="28"/>
        <i x="29"/>
        <i x="30"/>
        <i x="31"/>
        <i x="32"/>
        <i x="33"/>
        <i x="34"/>
        <i x="35"/>
        <i x="36"/>
        <i x="37" s="1"/>
        <i x="38" s="1"/>
        <i x="39" s="1"/>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s="1"/>
        <i x="4"/>
        <i x="5"/>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6">
        <i x="0"/>
        <i x="1"/>
        <i x="2"/>
        <i x="3"/>
        <i x="4" s="1"/>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3">
        <i x="0" s="1"/>
        <i x="1" s="1"/>
        <i x="2" s="1"/>
        <i x="3"/>
        <i x="4"/>
        <i x="5"/>
        <i x="6"/>
        <i x="7"/>
        <i x="8" nd="1"/>
        <i x="9" nd="1"/>
        <i x="10" nd="1"/>
        <i x="11" nd="1"/>
        <i x="12"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3">
        <i x="0"/>
        <i x="12"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s="1"/>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3">
        <i x="0" s="1"/>
        <i x="1" s="1"/>
        <i x="2" s="1"/>
        <i x="3" s="1"/>
        <i x="4" s="1"/>
        <i x="5" s="1"/>
        <i x="6" s="1"/>
        <i x="7" s="1"/>
        <i x="8" s="1"/>
        <i x="9" s="1"/>
        <i x="10" s="1"/>
        <i x="11" s="1"/>
        <i x="12" s="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s="1"/>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showMissing="0" crossFilter="none">
      <items count="13">
        <i x="0" s="1"/>
        <i x="1" s="1"/>
        <i x="2" s="1"/>
        <i x="3"/>
        <i x="4"/>
        <i x="5"/>
        <i x="6"/>
        <i x="7"/>
        <i x="8"/>
        <i x="9"/>
        <i x="10"/>
        <i x="11"/>
        <i x="12"/>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i x="5" s="1"/>
        <i x="0" nd="1"/>
        <i x="1" nd="1"/>
        <i x="2"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5" style="SlicerStyleDark1" rowHeight="241300"/>
  <slicer name="Month 1" cache="Slicer_Month1" caption="Month" style="SlicerStyleDark1" rowHeight="241300"/>
  <slicer name="Calendar_Year 1" cache="Slicer_Calendar_Year2" caption="Calendar Year" startItem="2"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33"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yle="SlicerStyleDark1" rowHeight="241300"/>
  <slicer name="Month 7" cache="Slicer_Month6" caption="Month" style="SlicerStyleDark1" rowHeight="241300"/>
  <slicer name="FFY 1" cache="Slicer_FFY" caption="Federal Fiscal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8" cache="Slicer_Month7" caption="Month" style="SlicerStyleDark1" rowHeight="241300"/>
  <slicer name="FFY 2" cache="Slicer_FFY1" caption="Federal Fiscal Year"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36"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tables/table1.xml><?xml version="1.0" encoding="utf-8"?>
<table xmlns="http://schemas.openxmlformats.org/spreadsheetml/2006/main" id="6" name="Every_month_raw" displayName="Every_month_raw" ref="A10:N4376" totalsRowShown="0" headerRowDxfId="305" dataDxfId="303" headerRowBorderDxfId="304" headerRowCellStyle="Percent" dataCellStyle="Percent">
  <autoFilter ref="A10:N4376"/>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289">
  <autoFilter ref="A10:I1367"/>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08" totalsRowShown="0" headerRowDxfId="280" dataDxfId="278" headerRowBorderDxfId="279">
  <autoFilter ref="A10:K1308"/>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2"/>
  <sheetViews>
    <sheetView showGridLines="0" showRowColHeaders="0" workbookViewId="0"/>
  </sheetViews>
  <sheetFormatPr defaultRowHeight="15"/>
  <cols>
    <col min="1" max="1" width="14.85546875" style="14" customWidth="1"/>
    <col min="2" max="2" width="33.2851562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74" t="s">
        <v>226</v>
      </c>
      <c r="B7" s="174" t="s">
        <v>227</v>
      </c>
      <c r="C7" s="174" t="s">
        <v>228</v>
      </c>
    </row>
    <row r="8" spans="1:3" s="106" customFormat="1" ht="71.25" customHeight="1">
      <c r="A8" s="165">
        <v>43189</v>
      </c>
      <c r="B8" s="166" t="s">
        <v>434</v>
      </c>
      <c r="C8" s="166"/>
    </row>
    <row r="9" spans="1:3" s="106" customFormat="1" ht="71.25" customHeight="1">
      <c r="A9" s="165">
        <v>43175</v>
      </c>
      <c r="B9" s="166" t="s">
        <v>432</v>
      </c>
      <c r="C9" s="166"/>
    </row>
    <row r="10" spans="1:3" s="106" customFormat="1" ht="60">
      <c r="A10" s="165">
        <v>43159</v>
      </c>
      <c r="B10" s="166" t="s">
        <v>431</v>
      </c>
      <c r="C10" s="166" t="s">
        <v>430</v>
      </c>
    </row>
    <row r="11" spans="1:3" s="106" customFormat="1" ht="69" customHeight="1">
      <c r="A11" s="165">
        <v>43131</v>
      </c>
      <c r="B11" s="166" t="s">
        <v>429</v>
      </c>
      <c r="C11" s="167"/>
    </row>
    <row r="12" spans="1:3" s="106" customFormat="1" ht="75">
      <c r="A12" s="165">
        <v>43018</v>
      </c>
      <c r="B12" s="166" t="s">
        <v>264</v>
      </c>
      <c r="C12" s="167"/>
    </row>
    <row r="13" spans="1:3" s="106" customFormat="1" ht="60">
      <c r="A13" s="165">
        <v>42942</v>
      </c>
      <c r="B13" s="166" t="s">
        <v>263</v>
      </c>
      <c r="C13" s="167"/>
    </row>
    <row r="14" spans="1:3" s="106" customFormat="1" ht="30">
      <c r="A14" s="168">
        <v>42940</v>
      </c>
      <c r="B14" s="169" t="s">
        <v>66</v>
      </c>
      <c r="C14" s="172" t="s">
        <v>262</v>
      </c>
    </row>
    <row r="15" spans="1:3" s="106" customFormat="1" ht="30">
      <c r="A15" s="168">
        <v>42901</v>
      </c>
      <c r="B15" s="169" t="s">
        <v>66</v>
      </c>
      <c r="C15" s="172" t="s">
        <v>261</v>
      </c>
    </row>
    <row r="16" spans="1:3" s="106" customFormat="1" ht="30">
      <c r="A16" s="168">
        <v>42886</v>
      </c>
      <c r="B16" s="169" t="s">
        <v>66</v>
      </c>
      <c r="C16" s="172" t="s">
        <v>260</v>
      </c>
    </row>
    <row r="17" spans="1:4">
      <c r="A17" s="170">
        <v>42880</v>
      </c>
      <c r="B17" s="171" t="s">
        <v>66</v>
      </c>
      <c r="C17" s="173" t="s">
        <v>251</v>
      </c>
    </row>
    <row r="18" spans="1:4">
      <c r="A18" s="99"/>
    </row>
    <row r="19" spans="1:4">
      <c r="A19" s="99"/>
    </row>
    <row r="20" spans="1:4">
      <c r="A20" s="99"/>
    </row>
    <row r="21" spans="1:4">
      <c r="A21" s="100"/>
      <c r="B21" s="101"/>
      <c r="C21" s="102"/>
      <c r="D21" s="102"/>
    </row>
    <row r="22" spans="1:4">
      <c r="A22" s="100"/>
      <c r="B22" s="101"/>
    </row>
  </sheetData>
  <sheetProtection algorithmName="SHA-512" hashValue="BnS93yuhA1iCB0huzkWHYC6xY+D3C8pZjxe5Xvl0FeDk2RdaMDpoVWTOkvNOOzYUFaQ3WauY6eg7Es+1AMhZPA==" saltValue="wEvpd9kXSdRjhiCTvtxUVA=="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77"/>
      <c r="B10" s="177"/>
      <c r="C10" s="177"/>
      <c r="D10" s="177"/>
      <c r="E10" s="177"/>
      <c r="F10" s="177"/>
      <c r="G10" s="177"/>
      <c r="H10" s="177"/>
      <c r="I10" s="177"/>
      <c r="J10" s="177"/>
      <c r="K10" s="177"/>
      <c r="L10" s="177"/>
      <c r="M10" s="177"/>
      <c r="N10" s="177"/>
      <c r="O10" s="177"/>
      <c r="P10" s="177"/>
      <c r="Q10" s="177"/>
      <c r="R10" s="177"/>
      <c r="S10" s="177"/>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MtcHcf8rP5dO7gC++wt46Y1C0J9IKJKeyVkTtjamMKF1W/RNtUYvT5IiSi5/udrav8J3OUsm0Nb1Okb0p72c3w==" saltValue="phxbLMsa+bx8YxSllC3Xww=="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78"/>
      <c r="B10" s="178"/>
      <c r="C10" s="178"/>
      <c r="D10" s="178"/>
      <c r="E10" s="178"/>
      <c r="F10" s="178"/>
      <c r="G10" s="178"/>
      <c r="H10" s="178"/>
      <c r="I10" s="178"/>
      <c r="J10" s="178"/>
      <c r="K10" s="178"/>
      <c r="L10" s="178"/>
      <c r="M10" s="178"/>
      <c r="N10" s="178"/>
      <c r="O10" s="178"/>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election activeCell="D27" sqref="D27"/>
    </sheetView>
  </sheetViews>
  <sheetFormatPr defaultColWidth="9.140625" defaultRowHeight="15"/>
  <cols>
    <col min="1"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79"/>
      <c r="B34" s="179"/>
      <c r="C34" s="179"/>
      <c r="D34" s="179"/>
      <c r="E34" s="179"/>
      <c r="F34" s="179"/>
    </row>
    <row r="35" spans="1:6" ht="3.75" customHeight="1"/>
    <row r="36" spans="1:6" ht="15" customHeight="1"/>
    <row r="37" spans="1:6" ht="15" customHeight="1"/>
    <row r="38" spans="1:6" ht="33" customHeight="1"/>
    <row r="57" spans="1:1">
      <c r="A57" s="43" t="s">
        <v>229</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0" t="str">
        <f>Pivot_PRI!B13&amp;" County PRI, Alpha Order"</f>
        <v>2016 County PRI, Alpha Order</v>
      </c>
      <c r="I14" s="181"/>
    </row>
    <row r="15" spans="8:9" ht="18" customHeight="1">
      <c r="H15" s="182"/>
      <c r="I15" s="183"/>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4" t="s">
        <v>231</v>
      </c>
      <c r="B77" s="184"/>
      <c r="C77" s="184"/>
      <c r="D77" s="184"/>
      <c r="E77" s="184"/>
      <c r="F77" s="184"/>
      <c r="G77" s="184"/>
      <c r="H77" s="184"/>
      <c r="I77" s="184"/>
      <c r="J77" s="184"/>
      <c r="K77" s="184"/>
      <c r="L77" s="184"/>
    </row>
    <row r="78" spans="1:12" ht="15.75" customHeight="1">
      <c r="A78" s="184"/>
      <c r="B78" s="184"/>
      <c r="C78" s="184"/>
      <c r="D78" s="184"/>
      <c r="E78" s="184"/>
      <c r="F78" s="184"/>
      <c r="G78" s="184"/>
      <c r="H78" s="184"/>
      <c r="I78" s="184"/>
      <c r="J78" s="184"/>
      <c r="K78" s="184"/>
      <c r="L78" s="184"/>
    </row>
    <row r="79" spans="1:12" ht="15.75" customHeight="1">
      <c r="A79" s="184"/>
      <c r="B79" s="184"/>
      <c r="C79" s="184"/>
      <c r="D79" s="184"/>
      <c r="E79" s="184"/>
      <c r="F79" s="184"/>
      <c r="G79" s="184"/>
      <c r="H79" s="184"/>
      <c r="I79" s="184"/>
      <c r="J79" s="184"/>
      <c r="K79" s="184"/>
      <c r="L79" s="184"/>
    </row>
    <row r="80" spans="1:12" ht="15.75" customHeight="1">
      <c r="A80" s="78"/>
      <c r="B80" s="78"/>
      <c r="C80" s="78"/>
      <c r="D80" s="78"/>
      <c r="E80" s="78"/>
      <c r="F80" s="78"/>
      <c r="G80" s="78"/>
      <c r="H80" s="78"/>
      <c r="I80" s="78"/>
      <c r="J80" s="78"/>
      <c r="K80" s="78"/>
      <c r="L80" s="78"/>
    </row>
    <row r="81" spans="1:1" ht="15.75" customHeight="1">
      <c r="A81" s="43" t="s">
        <v>229</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35" spans="1:1">
      <c r="A35" s="43" t="s">
        <v>229</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Q49" sqref="Q49"/>
    </sheetView>
  </sheetViews>
  <sheetFormatPr defaultRowHeight="15"/>
  <cols>
    <col min="1" max="16384" width="9.140625" style="43"/>
  </cols>
  <sheetData>
    <row r="49" spans="1:1">
      <c r="A49" s="43" t="s">
        <v>267</v>
      </c>
    </row>
  </sheetData>
  <sheetProtection algorithmName="SHA-512" hashValue="V7uxFRLL/Wk0OP3DybcE0Tn5O1ZV8ROFPRlkBaHR72AuK7At2w7xy8e+5GOemGue4mAUfblJRZHFQkoQGuwbNA==" saltValue="HZu/QtjrKhJdKtofxzti5Q=="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election activeCell="E68" sqref="E68"/>
    </sheetView>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heetViews>
  <sheetFormatPr defaultColWidth="9.140625" defaultRowHeight="15"/>
  <cols>
    <col min="1"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60" spans="1:2">
      <c r="A60" s="43" t="s">
        <v>421</v>
      </c>
    </row>
    <row r="61" spans="1:2">
      <c r="A61" s="43" t="s">
        <v>422</v>
      </c>
    </row>
    <row r="62" spans="1:2">
      <c r="B62" s="43" t="s">
        <v>423</v>
      </c>
    </row>
    <row r="63" spans="1:2">
      <c r="B63" s="43" t="s">
        <v>424</v>
      </c>
    </row>
    <row r="64" spans="1:2">
      <c r="B64" s="43" t="s">
        <v>425</v>
      </c>
    </row>
    <row r="65" spans="2:2">
      <c r="B65" s="43" t="s">
        <v>426</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E63" sqref="E63"/>
    </sheetView>
  </sheetViews>
  <sheetFormatPr defaultRowHeight="15"/>
  <cols>
    <col min="1" max="16384" width="9.140625" style="43"/>
  </cols>
  <sheetData>
    <row r="64" spans="1:1">
      <c r="A64" s="164" t="s">
        <v>420</v>
      </c>
    </row>
    <row r="65" spans="1:2">
      <c r="A65" s="43" t="s">
        <v>422</v>
      </c>
    </row>
    <row r="66" spans="1:2">
      <c r="B66" s="43" t="s">
        <v>423</v>
      </c>
    </row>
    <row r="67" spans="1:2">
      <c r="B67" s="43" t="s">
        <v>424</v>
      </c>
    </row>
    <row r="68" spans="1:2">
      <c r="B68" s="43" t="s">
        <v>425</v>
      </c>
    </row>
    <row r="69" spans="1:2">
      <c r="B69" s="43" t="s">
        <v>426</v>
      </c>
    </row>
  </sheetData>
  <sheetProtection algorithmName="SHA-512" hashValue="2LlcNKYPxSFaFz+DMH3jvR/qdyWoow3yuWZuy9SqNMyPqmWxije+2ijrHcLG1zi1PC2YnO7GMlM7Jtys8Yq4Vw==" saltValue="MT496/3L52/DgBmHNZgRvw=="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election activeCell="E36" sqref="E36"/>
    </sheetView>
  </sheetViews>
  <sheetFormatPr defaultColWidth="9.140625" defaultRowHeight="15"/>
  <cols>
    <col min="1"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82" spans="1:1">
      <c r="A82" s="43" t="s">
        <v>218</v>
      </c>
    </row>
    <row r="83" spans="1:1">
      <c r="A83" s="43" t="s">
        <v>233</v>
      </c>
    </row>
    <row r="84" spans="1:1">
      <c r="A84" s="43" t="s">
        <v>232</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8"/>
      <c r="B10" s="178"/>
      <c r="C10" s="178"/>
      <c r="D10" s="178"/>
      <c r="E10" s="178"/>
      <c r="F10" s="178"/>
      <c r="G10" s="178"/>
      <c r="H10" s="178"/>
      <c r="I10" s="178"/>
      <c r="J10" s="178"/>
      <c r="K10" s="178"/>
      <c r="L10" s="178"/>
      <c r="M10" s="178"/>
      <c r="N10" s="178"/>
      <c r="O10" s="178"/>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5"/>
      <c r="B10" s="185"/>
      <c r="C10" s="185"/>
      <c r="D10" s="185"/>
      <c r="E10" s="185"/>
      <c r="F10" s="185"/>
      <c r="G10" s="185"/>
      <c r="H10" s="185"/>
      <c r="I10" s="185"/>
      <c r="J10" s="185"/>
      <c r="K10" s="185"/>
      <c r="L10" s="185"/>
      <c r="M10" s="185"/>
      <c r="N10" s="185"/>
      <c r="O10" s="185"/>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271</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272</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85"/>
      <c r="B10" s="185"/>
      <c r="C10" s="185"/>
      <c r="D10" s="185"/>
      <c r="E10" s="185"/>
      <c r="F10" s="185"/>
      <c r="G10" s="185"/>
      <c r="H10" s="185"/>
      <c r="I10" s="185"/>
      <c r="J10" s="185"/>
      <c r="K10" s="185"/>
      <c r="L10" s="185"/>
      <c r="M10" s="185"/>
      <c r="N10" s="185"/>
      <c r="O10" s="185"/>
    </row>
    <row r="32" spans="1:1">
      <c r="A32" s="43"/>
    </row>
    <row r="33" spans="1:1">
      <c r="A33" s="47"/>
    </row>
    <row r="43" spans="1:1">
      <c r="A43" s="43"/>
    </row>
    <row r="51" spans="1:1">
      <c r="A51" s="43" t="s">
        <v>273</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election activeCell="J14" sqref="J14"/>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6" t="s">
        <v>274</v>
      </c>
      <c r="B7" s="186"/>
      <c r="C7" s="186"/>
      <c r="D7" s="186"/>
      <c r="E7" s="186"/>
      <c r="F7" s="186"/>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87" t="s">
        <v>336</v>
      </c>
      <c r="D9" s="188"/>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335</v>
      </c>
      <c r="D11" s="129" t="s">
        <v>275</v>
      </c>
      <c r="E11" s="130" t="s">
        <v>276</v>
      </c>
      <c r="F11" s="130" t="s">
        <v>277</v>
      </c>
      <c r="G11" s="131" t="s">
        <v>278</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427</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408</v>
      </c>
      <c r="C14" s="145">
        <f>SUM(D14:E14)</f>
        <v>4324523</v>
      </c>
      <c r="D14" s="145">
        <f>SUM(D15:D20)</f>
        <v>2162039</v>
      </c>
      <c r="E14" s="145">
        <f>SUM(E15:E20)</f>
        <v>2162484</v>
      </c>
      <c r="F14" s="146">
        <f>(D14/C14)</f>
        <v>0.49994854923884091</v>
      </c>
      <c r="G14" s="147">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387</v>
      </c>
      <c r="C15" s="148">
        <f t="shared" ref="C15:C41" si="0">SUM(D15:E15)</f>
        <v>572138</v>
      </c>
      <c r="D15" s="148">
        <f>VLOOKUP($B$9,Tiered_Raw!$A$11:$DB$69,2,FALSE)</f>
        <v>428958</v>
      </c>
      <c r="E15" s="148">
        <f>VLOOKUP($B$9,Tiered_Raw!$A$11:$DB$69,3,FALSE)</f>
        <v>143180</v>
      </c>
      <c r="F15" s="149">
        <f>VLOOKUP($B$9,Tiered_Raw!$A$11:$DB$69,5,FALSE)</f>
        <v>0.749745690724965</v>
      </c>
      <c r="G15" s="150">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388</v>
      </c>
      <c r="C16" s="151">
        <f t="shared" si="0"/>
        <v>2619568</v>
      </c>
      <c r="D16" s="151">
        <f>VLOOKUP($B$9,Tiered_Raw!$A$11:$DB$69,7,FALSE)</f>
        <v>1565327</v>
      </c>
      <c r="E16" s="151">
        <f>VLOOKUP($B$9,Tiered_Raw!$A$11:$DB$69,8,FALSE)</f>
        <v>1054241</v>
      </c>
      <c r="F16" s="152">
        <f>VLOOKUP($B$9,Tiered_Raw!$A$11:$DB$69,10,FALSE)</f>
        <v>0.59755158102404671</v>
      </c>
      <c r="G16" s="153">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389</v>
      </c>
      <c r="C17" s="151">
        <f t="shared" si="0"/>
        <v>1073029</v>
      </c>
      <c r="D17" s="151">
        <f>VLOOKUP($B$9,Tiered_Raw!$A$11:$DB$69,12,FALSE)</f>
        <v>113169</v>
      </c>
      <c r="E17" s="151">
        <f>VLOOKUP($B$9,Tiered_Raw!$A$11:$DB$69,13,FALSE)</f>
        <v>959860</v>
      </c>
      <c r="F17" s="152">
        <f>VLOOKUP($B$9,Tiered_Raw!$A$11:$DB$69,15,FALSE)</f>
        <v>0.10546686063470792</v>
      </c>
      <c r="G17" s="153">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390</v>
      </c>
      <c r="C18" s="151">
        <f t="shared" si="0"/>
        <v>10</v>
      </c>
      <c r="D18" s="151">
        <f>VLOOKUP($B$9,Tiered_Raw!$A$11:$DB$69,17,FALSE)</f>
        <v>6</v>
      </c>
      <c r="E18" s="151">
        <f>VLOOKUP($B$9,Tiered_Raw!$A$11:$DB$69,18,FALSE)</f>
        <v>4</v>
      </c>
      <c r="F18" s="152">
        <f>VLOOKUP($B$9,Tiered_Raw!$A$11:$DB$69,20,FALSE)</f>
        <v>0.6</v>
      </c>
      <c r="G18" s="153">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391</v>
      </c>
      <c r="C19" s="151">
        <f t="shared" si="0"/>
        <v>54375</v>
      </c>
      <c r="D19" s="151">
        <f>VLOOKUP($B$9,Tiered_Raw!$A$11:$DB$69,22,FALSE)</f>
        <v>50492</v>
      </c>
      <c r="E19" s="151">
        <f>VLOOKUP($B$9,Tiered_Raw!$A$11:$DB$69,23,FALSE)</f>
        <v>3883</v>
      </c>
      <c r="F19" s="152">
        <f>VLOOKUP($B$9,Tiered_Raw!$A$11:$DB$69,25,FALSE)</f>
        <v>0.92858850574712648</v>
      </c>
      <c r="G19" s="153">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392</v>
      </c>
      <c r="C20" s="151">
        <f t="shared" si="0"/>
        <v>5403</v>
      </c>
      <c r="D20" s="151">
        <f>VLOOKUP($B$9,Tiered_Raw!$A$11:$DB$69,27,FALSE)</f>
        <v>4087</v>
      </c>
      <c r="E20" s="151">
        <f>VLOOKUP($B$9,Tiered_Raw!$A$11:$DB$69,28,FALSE)</f>
        <v>1316</v>
      </c>
      <c r="F20" s="152">
        <f>VLOOKUP($B$9,Tiered_Raw!$A$11:$DB$69,30,FALSE)</f>
        <v>0.75643161206736997</v>
      </c>
      <c r="G20" s="153">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51"/>
      <c r="D21" s="151"/>
      <c r="E21" s="151"/>
      <c r="F21" s="152"/>
      <c r="G21" s="153"/>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409</v>
      </c>
      <c r="C22" s="145">
        <f t="shared" si="0"/>
        <v>3444135</v>
      </c>
      <c r="D22" s="145">
        <f>SUM(D23:D27)</f>
        <v>2572134</v>
      </c>
      <c r="E22" s="145">
        <f>SUM(E23:E27)</f>
        <v>872001</v>
      </c>
      <c r="F22" s="146">
        <f>(D22/C22)</f>
        <v>0.74681567360164458</v>
      </c>
      <c r="G22" s="147">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393</v>
      </c>
      <c r="C23" s="148">
        <f t="shared" si="0"/>
        <v>50</v>
      </c>
      <c r="D23" s="148">
        <f>VLOOKUP($B$9,Tiered_Raw!$A$11:$DB$69,32,FALSE)</f>
        <v>35</v>
      </c>
      <c r="E23" s="148">
        <f>VLOOKUP($B$9,Tiered_Raw!$A$11:$DB$69,33,FALSE)</f>
        <v>15</v>
      </c>
      <c r="F23" s="149">
        <f>VLOOKUP($B$9,Tiered_Raw!$A$11:$DB$69,35,FALSE)</f>
        <v>0.7</v>
      </c>
      <c r="G23" s="150">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394</v>
      </c>
      <c r="C24" s="151">
        <f t="shared" si="0"/>
        <v>0</v>
      </c>
      <c r="D24" s="151">
        <f>VLOOKUP($B$9,Tiered_Raw!$A$11:$DB$69,37,FALSE)</f>
        <v>0</v>
      </c>
      <c r="E24" s="151">
        <f>VLOOKUP($B$9,Tiered_Raw!$A$11:$DB$69,38,FALSE)</f>
        <v>0</v>
      </c>
      <c r="F24" s="152">
        <f>VLOOKUP($B$9,Tiered_Raw!$A$11:$DB$69,40,FALSE)</f>
        <v>0</v>
      </c>
      <c r="G24" s="153">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395</v>
      </c>
      <c r="C25" s="151">
        <f t="shared" si="0"/>
        <v>5114</v>
      </c>
      <c r="D25" s="151">
        <f>VLOOKUP($B$9,Tiered_Raw!$A$11:$DB$69,42,FALSE)</f>
        <v>3984</v>
      </c>
      <c r="E25" s="151">
        <f>VLOOKUP($B$9,Tiered_Raw!$A$11:$DB$69,43,FALSE)</f>
        <v>1130</v>
      </c>
      <c r="F25" s="152">
        <f>VLOOKUP($B$9,Tiered_Raw!$A$11:$DB$69,45,FALSE)</f>
        <v>0.77903793508017205</v>
      </c>
      <c r="G25" s="153">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396</v>
      </c>
      <c r="C26" s="151">
        <f t="shared" si="0"/>
        <v>3438971</v>
      </c>
      <c r="D26" s="151">
        <f>VLOOKUP($B$9,Tiered_Raw!$A$11:$DB$69,47,FALSE)</f>
        <v>2568115</v>
      </c>
      <c r="E26" s="151">
        <f>VLOOKUP($B$9,Tiered_Raw!$A$11:$DB$69,48,FALSE)</f>
        <v>870856</v>
      </c>
      <c r="F26" s="152">
        <f>VLOOKUP($B$9,Tiered_Raw!$A$11:$DB$69,50,FALSE)</f>
        <v>0.74676843741921639</v>
      </c>
      <c r="G26" s="153">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397</v>
      </c>
      <c r="C27" s="151">
        <f t="shared" si="0"/>
        <v>0</v>
      </c>
      <c r="D27" s="151">
        <f>VLOOKUP($B$9,Tiered_Raw!$A$11:$DB$69,52,FALSE)</f>
        <v>0</v>
      </c>
      <c r="E27" s="151">
        <f>VLOOKUP($B$9,Tiered_Raw!$A$11:$DB$69,53,FALSE)</f>
        <v>0</v>
      </c>
      <c r="F27" s="152">
        <f>VLOOKUP($B$9,Tiered_Raw!$A$11:$DB$69,55,FALSE)</f>
        <v>0</v>
      </c>
      <c r="G27" s="153">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51"/>
      <c r="D28" s="151"/>
      <c r="E28" s="151"/>
      <c r="F28" s="152"/>
      <c r="G28" s="153"/>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410</v>
      </c>
      <c r="C29" s="145">
        <f t="shared" si="0"/>
        <v>1129789</v>
      </c>
      <c r="D29" s="145">
        <f>SUM(D30:D35)</f>
        <v>767642</v>
      </c>
      <c r="E29" s="145">
        <f>SUM(E30:E35)</f>
        <v>362147</v>
      </c>
      <c r="F29" s="146">
        <f>(D29/C29)</f>
        <v>0.67945607542647346</v>
      </c>
      <c r="G29" s="147">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398</v>
      </c>
      <c r="C30" s="148">
        <f t="shared" si="0"/>
        <v>732722</v>
      </c>
      <c r="D30" s="148">
        <f>VLOOKUP($B$9,Tiered_Raw!$A$11:$DB$69,57,FALSE)</f>
        <v>434169</v>
      </c>
      <c r="E30" s="148">
        <f>VLOOKUP($B$9,Tiered_Raw!$A$11:$DB$69,58,FALSE)</f>
        <v>298553</v>
      </c>
      <c r="F30" s="149">
        <f>VLOOKUP($B$9,Tiered_Raw!$A$11:$DB$69,60,FALSE)</f>
        <v>0.59254260142318638</v>
      </c>
      <c r="G30" s="150">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399</v>
      </c>
      <c r="C31" s="151">
        <f t="shared" si="0"/>
        <v>0</v>
      </c>
      <c r="D31" s="151">
        <f>VLOOKUP($B$9,Tiered_Raw!$A$11:$DB$69,62,FALSE)</f>
        <v>0</v>
      </c>
      <c r="E31" s="151">
        <f>VLOOKUP($B$9,Tiered_Raw!$A$11:$DB$69,63,FALSE)</f>
        <v>0</v>
      </c>
      <c r="F31" s="152">
        <f>VLOOKUP($B$9,Tiered_Raw!$A$11:$DB$69,65,FALSE)</f>
        <v>0</v>
      </c>
      <c r="G31" s="153">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400</v>
      </c>
      <c r="C32" s="151">
        <f t="shared" si="0"/>
        <v>345201</v>
      </c>
      <c r="D32" s="151">
        <f>VLOOKUP($B$9,Tiered_Raw!$A$11:$DB$69,67,FALSE)</f>
        <v>291204</v>
      </c>
      <c r="E32" s="151">
        <f>VLOOKUP($B$9,Tiered_Raw!$A$11:$DB$69,68,FALSE)</f>
        <v>53997</v>
      </c>
      <c r="F32" s="152">
        <f>VLOOKUP($B$9,Tiered_Raw!$A$11:$DB$69,70,FALSE)</f>
        <v>0.84357808928711098</v>
      </c>
      <c r="G32" s="153">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401</v>
      </c>
      <c r="C33" s="151">
        <f t="shared" si="0"/>
        <v>48602</v>
      </c>
      <c r="D33" s="151">
        <f>VLOOKUP($B$9,Tiered_Raw!$A$11:$DB$69,72,FALSE)</f>
        <v>39626</v>
      </c>
      <c r="E33" s="151">
        <f>VLOOKUP($B$9,Tiered_Raw!$A$11:$DB$69,73,FALSE)</f>
        <v>8976</v>
      </c>
      <c r="F33" s="152">
        <f>VLOOKUP($B$9,Tiered_Raw!$A$11:$DB$69,75,FALSE)</f>
        <v>0.81531624212995346</v>
      </c>
      <c r="G33" s="153">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402</v>
      </c>
      <c r="C34" s="151">
        <f t="shared" si="0"/>
        <v>3121</v>
      </c>
      <c r="D34" s="151">
        <f>VLOOKUP($B$9,Tiered_Raw!$A$11:$DB$69,77,FALSE)</f>
        <v>2522</v>
      </c>
      <c r="E34" s="151">
        <f>VLOOKUP($B$9,Tiered_Raw!$A$11:$DB$69,78,FALSE)</f>
        <v>599</v>
      </c>
      <c r="F34" s="152">
        <f>VLOOKUP($B$9,Tiered_Raw!$A$11:$DB$69,80,FALSE)</f>
        <v>0.80807433514899074</v>
      </c>
      <c r="G34" s="153">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403</v>
      </c>
      <c r="C35" s="151">
        <f t="shared" si="0"/>
        <v>143</v>
      </c>
      <c r="D35" s="151">
        <f>VLOOKUP($B$9,Tiered_Raw!$A$11:$DB$69,82,FALSE)</f>
        <v>121</v>
      </c>
      <c r="E35" s="151">
        <f>VLOOKUP($B$9,Tiered_Raw!$A$11:$DB$69,83,FALSE)</f>
        <v>22</v>
      </c>
      <c r="F35" s="152">
        <f>VLOOKUP($B$9,Tiered_Raw!$A$11:$DB$69,85,FALSE)</f>
        <v>0.84615384615384615</v>
      </c>
      <c r="G35" s="153">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51"/>
      <c r="D36" s="151"/>
      <c r="E36" s="151"/>
      <c r="F36" s="152"/>
      <c r="G36" s="153"/>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411</v>
      </c>
      <c r="C37" s="145">
        <f t="shared" si="0"/>
        <v>26956</v>
      </c>
      <c r="D37" s="145">
        <f>SUM(D38:D41)</f>
        <v>12100</v>
      </c>
      <c r="E37" s="145">
        <f>SUM(E38:E41)</f>
        <v>14856</v>
      </c>
      <c r="F37" s="146">
        <f>(D37/C37)</f>
        <v>0.44887965573527228</v>
      </c>
      <c r="G37" s="147">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404</v>
      </c>
      <c r="C38" s="148">
        <f t="shared" si="0"/>
        <v>2967</v>
      </c>
      <c r="D38" s="148">
        <f>VLOOKUP($B$9,Tiered_Raw!$A$11:$DB$69,87,FALSE)</f>
        <v>1761</v>
      </c>
      <c r="E38" s="148">
        <f>VLOOKUP($B$9,Tiered_Raw!$A$11:$DB$69,88,FALSE)</f>
        <v>1206</v>
      </c>
      <c r="F38" s="149">
        <f>VLOOKUP($B$9,Tiered_Raw!$A$11:$DB$69,90,FALSE)</f>
        <v>0.59352881698685545</v>
      </c>
      <c r="G38" s="150">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405</v>
      </c>
      <c r="C39" s="151">
        <f t="shared" si="0"/>
        <v>23957</v>
      </c>
      <c r="D39" s="151">
        <f>VLOOKUP($B$9,Tiered_Raw!$A$11:$DB$69,92,FALSE)</f>
        <v>10313</v>
      </c>
      <c r="E39" s="151">
        <f>VLOOKUP($B$9,Tiered_Raw!$A$11:$DB$69,93,FALSE)</f>
        <v>13644</v>
      </c>
      <c r="F39" s="152">
        <f>VLOOKUP($B$9,Tiered_Raw!$A$11:$DB$69,95,FALSE)</f>
        <v>0.43047960929999585</v>
      </c>
      <c r="G39" s="153">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406</v>
      </c>
      <c r="C40" s="151">
        <f t="shared" si="0"/>
        <v>32</v>
      </c>
      <c r="D40" s="151">
        <f>VLOOKUP($B$9,Tiered_Raw!$A$11:$DB$69,97,FALSE)</f>
        <v>26</v>
      </c>
      <c r="E40" s="151">
        <f>VLOOKUP($B$9,Tiered_Raw!$A$11:$DB$69,98,FALSE)</f>
        <v>6</v>
      </c>
      <c r="F40" s="152">
        <f>VLOOKUP($B$9,Tiered_Raw!$A$11:$DB$69,100,FALSE)</f>
        <v>0.8125</v>
      </c>
      <c r="G40" s="153">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407</v>
      </c>
      <c r="C41" s="154">
        <f t="shared" si="0"/>
        <v>0</v>
      </c>
      <c r="D41" s="154">
        <f>VLOOKUP($B$9,Tiered_Raw!$A$11:$DB$69,102,FALSE)</f>
        <v>0</v>
      </c>
      <c r="E41" s="154">
        <f>VLOOKUP($B$9,Tiered_Raw!$A$11:$DB$69,103,FALSE)</f>
        <v>0</v>
      </c>
      <c r="F41" s="155">
        <f>VLOOKUP($B$9,Tiered_Raw!$A$11:$DB$69,105,FALSE)</f>
        <v>0</v>
      </c>
      <c r="G41" s="156">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412</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428</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413</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376"/>
  <sheetViews>
    <sheetView showGridLines="0" zoomScaleNormal="10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89" t="s">
        <v>250</v>
      </c>
      <c r="B8" s="189"/>
      <c r="C8" s="189"/>
      <c r="D8" s="189"/>
      <c r="E8" s="189"/>
      <c r="F8" s="189"/>
      <c r="G8" s="85" t="s">
        <v>219</v>
      </c>
      <c r="H8" s="85" t="s">
        <v>219</v>
      </c>
      <c r="I8" s="85" t="s">
        <v>220</v>
      </c>
      <c r="J8" s="84" t="s">
        <v>221</v>
      </c>
      <c r="K8" s="84" t="s">
        <v>222</v>
      </c>
      <c r="L8" s="84" t="s">
        <v>415</v>
      </c>
      <c r="M8" s="84" t="s">
        <v>415</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416</v>
      </c>
      <c r="M10" s="31" t="s">
        <v>414</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58"/>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58"/>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58"/>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58"/>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58"/>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58"/>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58"/>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58"/>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58"/>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58"/>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58"/>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58"/>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58"/>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58"/>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58"/>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58"/>
      <c r="M26" s="30"/>
      <c r="N26" s="30">
        <v>3.3000000000000002E-2</v>
      </c>
    </row>
    <row r="27" spans="1:31">
      <c r="A27" s="1" t="s">
        <v>140</v>
      </c>
      <c r="B27" s="2" t="s">
        <v>78</v>
      </c>
      <c r="C27" s="14" t="s">
        <v>3</v>
      </c>
      <c r="D27" s="2">
        <v>2012</v>
      </c>
      <c r="E27" s="14">
        <v>2012</v>
      </c>
      <c r="F27" s="14" t="s">
        <v>100</v>
      </c>
      <c r="G27" s="26">
        <v>9461</v>
      </c>
      <c r="H27" s="26">
        <v>22772</v>
      </c>
      <c r="I27" s="53"/>
      <c r="J27" s="30">
        <v>1</v>
      </c>
      <c r="K27" s="30"/>
      <c r="L27" s="158"/>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58"/>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58"/>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58"/>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58"/>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58"/>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58"/>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58"/>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58"/>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58"/>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58"/>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58"/>
      <c r="M38" s="30"/>
      <c r="N38" s="30">
        <v>1.0800000000000001E-2</v>
      </c>
    </row>
    <row r="39" spans="1:14">
      <c r="A39" s="1" t="s">
        <v>152</v>
      </c>
      <c r="B39" s="2" t="s">
        <v>78</v>
      </c>
      <c r="C39" s="14" t="s">
        <v>3</v>
      </c>
      <c r="D39" s="2">
        <v>2012</v>
      </c>
      <c r="E39" s="14">
        <v>2012</v>
      </c>
      <c r="F39" s="14" t="s">
        <v>100</v>
      </c>
      <c r="G39" s="26">
        <v>3286</v>
      </c>
      <c r="H39" s="26">
        <v>7073</v>
      </c>
      <c r="I39" s="53"/>
      <c r="J39" s="30">
        <v>1</v>
      </c>
      <c r="K39" s="30"/>
      <c r="L39" s="158"/>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58"/>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58"/>
      <c r="M41" s="30"/>
      <c r="N41" s="30">
        <v>2.06E-2</v>
      </c>
    </row>
    <row r="42" spans="1:14">
      <c r="A42" s="1" t="s">
        <v>155</v>
      </c>
      <c r="B42" s="2" t="s">
        <v>77</v>
      </c>
      <c r="C42" s="14" t="s">
        <v>3</v>
      </c>
      <c r="D42" s="2">
        <v>2012</v>
      </c>
      <c r="E42" s="14">
        <v>2012</v>
      </c>
      <c r="F42" s="14" t="s">
        <v>100</v>
      </c>
      <c r="G42" s="26">
        <v>7989</v>
      </c>
      <c r="H42" s="26">
        <v>17900</v>
      </c>
      <c r="I42" s="53"/>
      <c r="J42" s="30">
        <v>0.9536</v>
      </c>
      <c r="K42" s="30"/>
      <c r="L42" s="158"/>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58"/>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58"/>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58"/>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58"/>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58"/>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58"/>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58"/>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58"/>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58"/>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58"/>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58"/>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58"/>
      <c r="M54" s="30"/>
      <c r="N54" s="30">
        <v>0</v>
      </c>
    </row>
    <row r="55" spans="1:31">
      <c r="A55" s="1" t="s">
        <v>168</v>
      </c>
      <c r="B55" s="2" t="s">
        <v>77</v>
      </c>
      <c r="C55" s="14" t="s">
        <v>3</v>
      </c>
      <c r="D55" s="2">
        <v>2012</v>
      </c>
      <c r="E55" s="14">
        <v>2012</v>
      </c>
      <c r="F55" s="14" t="s">
        <v>100</v>
      </c>
      <c r="G55" s="26">
        <v>10100</v>
      </c>
      <c r="H55" s="26">
        <v>20577</v>
      </c>
      <c r="I55" s="53"/>
      <c r="J55" s="30">
        <v>0.62529999999999997</v>
      </c>
      <c r="K55" s="30"/>
      <c r="L55" s="158"/>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58"/>
      <c r="M56" s="30"/>
      <c r="N56" s="30">
        <v>5.3600000000000002E-2</v>
      </c>
    </row>
    <row r="57" spans="1:31">
      <c r="A57" s="1" t="s">
        <v>170</v>
      </c>
      <c r="B57" s="2" t="s">
        <v>78</v>
      </c>
      <c r="C57" s="14" t="s">
        <v>3</v>
      </c>
      <c r="D57" s="2">
        <v>2012</v>
      </c>
      <c r="E57" s="14">
        <v>2012</v>
      </c>
      <c r="F57" s="14" t="s">
        <v>100</v>
      </c>
      <c r="G57" s="26">
        <v>124</v>
      </c>
      <c r="H57" s="26">
        <v>262</v>
      </c>
      <c r="I57" s="53"/>
      <c r="J57" s="30">
        <v>1</v>
      </c>
      <c r="K57" s="30"/>
      <c r="L57" s="158"/>
      <c r="M57" s="30"/>
      <c r="N57" s="30">
        <v>5.3600000000000002E-2</v>
      </c>
    </row>
    <row r="58" spans="1:31">
      <c r="A58" s="1" t="s">
        <v>171</v>
      </c>
      <c r="B58" s="2" t="s">
        <v>78</v>
      </c>
      <c r="C58" s="14" t="s">
        <v>3</v>
      </c>
      <c r="D58" s="2">
        <v>2012</v>
      </c>
      <c r="E58" s="14">
        <v>2012</v>
      </c>
      <c r="F58" s="14" t="s">
        <v>100</v>
      </c>
      <c r="G58" s="26">
        <v>2617</v>
      </c>
      <c r="H58" s="26">
        <v>5978</v>
      </c>
      <c r="I58" s="53"/>
      <c r="J58" s="30">
        <v>1</v>
      </c>
      <c r="K58" s="30"/>
      <c r="L58" s="158"/>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58"/>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58"/>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58"/>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58"/>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58"/>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58"/>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58"/>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58"/>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58"/>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58"/>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58"/>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58"/>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58"/>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58"/>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58"/>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58"/>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58"/>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58"/>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58"/>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58"/>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58"/>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58"/>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58"/>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58"/>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58"/>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58"/>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58"/>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58"/>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58"/>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58"/>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58"/>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58"/>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58"/>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58"/>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58"/>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58"/>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58"/>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58"/>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58"/>
      <c r="M97" s="30"/>
      <c r="N97" s="30">
        <v>1.17E-2</v>
      </c>
    </row>
    <row r="98" spans="1:14">
      <c r="A98" s="13" t="s">
        <v>152</v>
      </c>
      <c r="B98" s="2" t="s">
        <v>78</v>
      </c>
      <c r="C98" s="14" t="s">
        <v>194</v>
      </c>
      <c r="D98" s="2">
        <v>2012</v>
      </c>
      <c r="E98" s="14">
        <v>2012</v>
      </c>
      <c r="F98" s="14" t="s">
        <v>100</v>
      </c>
      <c r="G98" s="26">
        <v>3285</v>
      </c>
      <c r="H98" s="26">
        <v>7053</v>
      </c>
      <c r="I98" s="53"/>
      <c r="J98" s="30">
        <v>1</v>
      </c>
      <c r="K98" s="30"/>
      <c r="L98" s="158"/>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58"/>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58"/>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58"/>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58"/>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58"/>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58"/>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58"/>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58"/>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58"/>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58"/>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58"/>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58"/>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58"/>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58"/>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58"/>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58"/>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58"/>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58"/>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58"/>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58"/>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58"/>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58"/>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58"/>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58"/>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58"/>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58"/>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58"/>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58"/>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58"/>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58"/>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58"/>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58"/>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58"/>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58"/>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58"/>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58"/>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58"/>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58"/>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58"/>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58"/>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58"/>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58"/>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58"/>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58"/>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58"/>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58"/>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58"/>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58"/>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58"/>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58"/>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58"/>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58"/>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58"/>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58"/>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58"/>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58"/>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58"/>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58"/>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58"/>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58"/>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58"/>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58"/>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58"/>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58"/>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58"/>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58"/>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58"/>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58"/>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58"/>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58"/>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58"/>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58"/>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58"/>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58"/>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58"/>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58"/>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58"/>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58"/>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58"/>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58"/>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58"/>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58"/>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58"/>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58"/>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58"/>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58"/>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58"/>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58"/>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58"/>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58"/>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58"/>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58"/>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58"/>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58"/>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58"/>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58"/>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58"/>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58"/>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58"/>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58"/>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58"/>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58"/>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58"/>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58"/>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58"/>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58"/>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58"/>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58"/>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58"/>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58"/>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58"/>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58"/>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58"/>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58"/>
      <c r="M212" s="30"/>
      <c r="N212" s="30">
        <v>2.7E-2</v>
      </c>
    </row>
    <row r="213" spans="1:14">
      <c r="A213" s="13" t="s">
        <v>149</v>
      </c>
      <c r="B213" s="2" t="s">
        <v>78</v>
      </c>
      <c r="C213" s="14" t="s">
        <v>62</v>
      </c>
      <c r="D213" s="2">
        <v>2012</v>
      </c>
      <c r="E213" s="14">
        <v>2012</v>
      </c>
      <c r="F213" s="14" t="s">
        <v>100</v>
      </c>
      <c r="G213" s="26">
        <v>444</v>
      </c>
      <c r="H213" s="26">
        <v>1046</v>
      </c>
      <c r="I213" s="53"/>
      <c r="J213" s="30">
        <v>1</v>
      </c>
      <c r="K213" s="30"/>
      <c r="L213" s="158"/>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58"/>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58"/>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58"/>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58"/>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58"/>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58"/>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58"/>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58"/>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58"/>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58"/>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58"/>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58"/>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58"/>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58"/>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58"/>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58"/>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58"/>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58"/>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58"/>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58"/>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58"/>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58"/>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58"/>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58"/>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58"/>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58"/>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58"/>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58"/>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58"/>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58"/>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58"/>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58"/>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58"/>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58"/>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58"/>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58"/>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58"/>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58"/>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58"/>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58"/>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58"/>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58"/>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58"/>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58"/>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58"/>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58"/>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58"/>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58"/>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58"/>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58"/>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58"/>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58"/>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58"/>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58"/>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58"/>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58"/>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58"/>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58"/>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58"/>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58"/>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58"/>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58"/>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58"/>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58"/>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58"/>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58"/>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58"/>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58"/>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58"/>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58"/>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58"/>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58"/>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58"/>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58"/>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58"/>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58"/>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58"/>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58"/>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58"/>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58"/>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58"/>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58"/>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58"/>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58"/>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58"/>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58"/>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58"/>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58"/>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58"/>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58"/>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58"/>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58"/>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58"/>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58"/>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58"/>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58"/>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58"/>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58"/>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58"/>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58"/>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58"/>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58"/>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58"/>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58"/>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58"/>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58"/>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58"/>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58"/>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58"/>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58"/>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58"/>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58"/>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58"/>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58"/>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58"/>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58"/>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58"/>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58"/>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58"/>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58"/>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58"/>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58"/>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58"/>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58"/>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58"/>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58"/>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58"/>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58"/>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58"/>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58"/>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58"/>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58"/>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58"/>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58"/>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58"/>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58"/>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58"/>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58"/>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58"/>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58"/>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58"/>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58"/>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58"/>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58"/>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58"/>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58"/>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58"/>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58"/>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58"/>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58"/>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58"/>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58"/>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58"/>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58"/>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58"/>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58"/>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58"/>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58"/>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58"/>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58"/>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58"/>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58"/>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58"/>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58"/>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58"/>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58"/>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58"/>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58"/>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58"/>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58"/>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58"/>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58"/>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58"/>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58"/>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58"/>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58"/>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58"/>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58"/>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58"/>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58"/>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58"/>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58"/>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58"/>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58"/>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58"/>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58"/>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58"/>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58"/>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58"/>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58"/>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58"/>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58"/>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58"/>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58"/>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58"/>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58"/>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58"/>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58"/>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58"/>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58"/>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58"/>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58"/>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58"/>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58"/>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58"/>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58"/>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58"/>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58"/>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58"/>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58"/>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58"/>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58"/>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58"/>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58"/>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58"/>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58"/>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58"/>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58"/>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58"/>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58"/>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58"/>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58"/>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58"/>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58"/>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58"/>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58"/>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58"/>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58"/>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58"/>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58"/>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58"/>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58"/>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58"/>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58"/>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58"/>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58"/>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58"/>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58"/>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58"/>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58"/>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58"/>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58"/>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58"/>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58"/>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58"/>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58"/>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58"/>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58"/>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58"/>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58"/>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58"/>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58"/>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58"/>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58"/>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58"/>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58"/>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58"/>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58"/>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58"/>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58"/>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58"/>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58"/>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58"/>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58"/>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58"/>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58"/>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58"/>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58"/>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58"/>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58"/>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58"/>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58"/>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58"/>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58"/>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58"/>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58"/>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58"/>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58"/>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58"/>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58"/>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58"/>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58"/>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58"/>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58"/>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58"/>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58"/>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58"/>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58"/>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58"/>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58"/>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58"/>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58"/>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58"/>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58"/>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58"/>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58"/>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58"/>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58"/>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58"/>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58"/>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58"/>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58"/>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58"/>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58"/>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58"/>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58"/>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58"/>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58"/>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58"/>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58"/>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58"/>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58"/>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58"/>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58"/>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58"/>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58"/>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58"/>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58"/>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58"/>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58"/>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58"/>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58"/>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58"/>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58"/>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58"/>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58"/>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58"/>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58"/>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58"/>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58"/>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58"/>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58"/>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58"/>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58"/>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58"/>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58"/>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58"/>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58"/>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58"/>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58"/>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58"/>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58"/>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58"/>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58"/>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58"/>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58"/>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58"/>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58"/>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58"/>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58"/>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58"/>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58"/>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58"/>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58"/>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58"/>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58"/>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58"/>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58"/>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58"/>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58"/>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58"/>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58"/>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58"/>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58"/>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58"/>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58"/>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58"/>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58"/>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58"/>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58"/>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58"/>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58"/>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58"/>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58"/>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58"/>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58"/>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58"/>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58"/>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58"/>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58"/>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58"/>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58"/>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58"/>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58"/>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58"/>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58"/>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58"/>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58"/>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58"/>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58"/>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58"/>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58"/>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58"/>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58"/>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58"/>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58"/>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58"/>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58"/>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58"/>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58"/>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58"/>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58"/>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58"/>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58"/>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58"/>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58"/>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58"/>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58"/>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58"/>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58"/>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58"/>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58"/>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58"/>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58"/>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58"/>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58"/>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58"/>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58"/>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58"/>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58"/>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58"/>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58"/>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58"/>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58"/>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58"/>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58"/>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58"/>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58"/>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58"/>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58"/>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58"/>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58"/>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58"/>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58"/>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58"/>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58"/>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58"/>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58"/>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58"/>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58"/>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58"/>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58"/>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58"/>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58"/>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58"/>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58"/>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58"/>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58"/>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58"/>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58"/>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58"/>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58"/>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58"/>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58"/>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58"/>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58"/>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58"/>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58"/>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58"/>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58"/>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58"/>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58"/>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58"/>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58"/>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58"/>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58"/>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58"/>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58"/>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58"/>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58"/>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58"/>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58"/>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58"/>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58"/>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58"/>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58"/>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58"/>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58"/>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58"/>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58"/>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58"/>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58"/>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58"/>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58"/>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58"/>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58"/>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58"/>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58"/>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58"/>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58"/>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58"/>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58"/>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58"/>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58"/>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58"/>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58"/>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58"/>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58"/>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58"/>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58"/>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58"/>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58"/>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58"/>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58"/>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58"/>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58"/>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58"/>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58"/>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58"/>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58"/>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58"/>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58"/>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58"/>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58"/>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58"/>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58"/>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58"/>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58"/>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58"/>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58"/>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58"/>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58"/>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58"/>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58"/>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58"/>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58"/>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58"/>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58"/>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58"/>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58"/>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58"/>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58"/>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58"/>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58"/>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58"/>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58"/>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58"/>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58"/>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58"/>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58"/>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58"/>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58"/>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58"/>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58"/>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58"/>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58"/>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58"/>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58"/>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58"/>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58"/>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58"/>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58"/>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58"/>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58"/>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58"/>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58"/>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58"/>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58"/>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58"/>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58"/>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58"/>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58"/>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58"/>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58"/>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58"/>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58"/>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58"/>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58"/>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58"/>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58"/>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58"/>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58"/>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58"/>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58"/>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58"/>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58"/>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58"/>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58"/>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58"/>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58"/>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58"/>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58"/>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58"/>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58"/>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58"/>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58"/>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58"/>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58"/>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58"/>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58"/>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58"/>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58"/>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58"/>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58"/>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58"/>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58"/>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58"/>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58"/>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58"/>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58"/>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58"/>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58"/>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58"/>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58"/>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58"/>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58"/>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58"/>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58"/>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58"/>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58"/>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58"/>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58"/>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58"/>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58"/>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58"/>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58"/>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58"/>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58"/>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58"/>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58"/>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58"/>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58"/>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58"/>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58"/>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58"/>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58"/>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58"/>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58"/>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58"/>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58"/>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58"/>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58"/>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58"/>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58"/>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58"/>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58"/>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58"/>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58"/>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58"/>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58"/>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58"/>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58"/>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58"/>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58"/>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58"/>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58"/>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58"/>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58"/>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58"/>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58"/>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58"/>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58"/>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58"/>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58"/>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58"/>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58"/>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58"/>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58"/>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58"/>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58"/>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58"/>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58"/>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58"/>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58"/>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58"/>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58"/>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58"/>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58"/>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58"/>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58"/>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58"/>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58"/>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58"/>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58"/>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58"/>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58"/>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58"/>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58"/>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58"/>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58"/>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58"/>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58"/>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58"/>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58"/>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58"/>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58"/>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58"/>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58"/>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58"/>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58"/>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58"/>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58"/>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58"/>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58"/>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58"/>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58"/>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58"/>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58"/>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58"/>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58"/>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58"/>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58"/>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58"/>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58"/>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58"/>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58"/>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58"/>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58"/>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58"/>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58"/>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58"/>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58"/>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58"/>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58"/>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58"/>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58"/>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58"/>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58"/>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58"/>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58"/>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58"/>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58"/>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58"/>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58"/>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58"/>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58"/>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58"/>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58"/>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58"/>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58"/>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58"/>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58"/>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58"/>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58"/>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58"/>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58"/>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58"/>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58"/>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58"/>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58"/>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58"/>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58"/>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58"/>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58"/>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58"/>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58"/>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58"/>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58"/>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58"/>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58"/>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58"/>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58"/>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58"/>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58"/>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58"/>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58"/>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58"/>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58"/>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58"/>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58"/>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58"/>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58"/>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58"/>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58"/>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58"/>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58"/>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58"/>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58"/>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58"/>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58"/>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58"/>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58"/>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58"/>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58"/>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58"/>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58"/>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58"/>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58"/>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58"/>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58"/>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58"/>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58"/>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58"/>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58"/>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58"/>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58"/>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58"/>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58"/>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58"/>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58"/>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58"/>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58"/>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58"/>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58"/>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58"/>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58"/>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58"/>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58"/>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58"/>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58"/>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58"/>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58"/>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58"/>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58"/>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58"/>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58"/>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58"/>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58"/>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58"/>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58"/>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58"/>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58"/>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58"/>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58"/>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58"/>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58"/>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58"/>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58"/>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58"/>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58"/>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58"/>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58"/>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58"/>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58"/>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58"/>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58"/>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58"/>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58"/>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58"/>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58"/>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58"/>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58"/>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58"/>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58"/>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58"/>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58"/>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58"/>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58"/>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58"/>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58"/>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58"/>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58"/>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58"/>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58"/>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58"/>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58"/>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58"/>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58"/>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58"/>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58"/>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58"/>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58"/>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58"/>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58"/>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58"/>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58"/>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58"/>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58"/>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58"/>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58"/>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58"/>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58"/>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58"/>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58"/>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58"/>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58"/>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58"/>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58"/>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58"/>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58"/>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58"/>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58"/>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58"/>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58"/>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58"/>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58"/>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58"/>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58"/>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58"/>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58"/>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58"/>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58"/>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58"/>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58"/>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58"/>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58"/>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58"/>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58"/>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58"/>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58"/>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58"/>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58"/>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58"/>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58"/>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58"/>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58"/>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58"/>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58"/>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58"/>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58"/>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58"/>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58"/>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58"/>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58"/>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58"/>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58"/>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58"/>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58"/>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58"/>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58"/>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58"/>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58"/>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58"/>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58"/>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58"/>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58"/>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58"/>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58"/>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58"/>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58"/>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58"/>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58"/>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58"/>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58"/>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58"/>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58"/>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58"/>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58"/>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58"/>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58"/>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58"/>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58"/>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58"/>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58"/>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58"/>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58"/>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58"/>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58"/>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58"/>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58"/>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58"/>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58"/>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58"/>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58"/>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58"/>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58"/>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58"/>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58"/>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58"/>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58"/>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58"/>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58"/>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58"/>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58"/>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58"/>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58"/>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58"/>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58"/>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58"/>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58"/>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58"/>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58"/>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58"/>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58"/>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58"/>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58"/>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58"/>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58"/>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58"/>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58"/>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58"/>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58"/>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58"/>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58"/>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58"/>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58"/>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58"/>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58"/>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58"/>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58"/>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58"/>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58"/>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58"/>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58"/>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58"/>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58"/>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58"/>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58"/>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58"/>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58"/>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58"/>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58"/>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58"/>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58"/>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58"/>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58"/>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58"/>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58"/>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58"/>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58"/>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58"/>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58"/>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58"/>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58"/>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58"/>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58"/>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58"/>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58"/>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58"/>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58"/>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58"/>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58"/>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58"/>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58"/>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58"/>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58"/>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58"/>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58"/>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58"/>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58"/>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58"/>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58"/>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58"/>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58"/>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58"/>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58"/>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58"/>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58"/>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58"/>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58"/>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58"/>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58"/>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58"/>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58"/>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58"/>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58"/>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58"/>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58"/>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58"/>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58"/>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58"/>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58"/>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58"/>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58"/>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58"/>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58"/>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58"/>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58"/>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58"/>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58"/>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58"/>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58"/>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58"/>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58"/>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58"/>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58"/>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58"/>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58"/>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58"/>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58"/>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58"/>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58"/>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58"/>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58"/>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58"/>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58"/>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58"/>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58"/>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58"/>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58"/>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58"/>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58"/>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58"/>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58"/>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58"/>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58"/>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58"/>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58"/>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58"/>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58"/>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58"/>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58"/>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58"/>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58"/>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58"/>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58"/>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58"/>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58"/>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58"/>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58"/>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58"/>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58"/>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58"/>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58"/>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58"/>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58"/>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58"/>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58"/>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58"/>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58"/>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58"/>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58"/>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58"/>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58"/>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58"/>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58"/>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58"/>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58"/>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58"/>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58"/>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58"/>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58"/>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58"/>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58"/>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58"/>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58"/>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58"/>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58"/>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58"/>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58"/>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58"/>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58"/>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58"/>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58"/>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58"/>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58"/>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58"/>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58"/>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58"/>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58"/>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58"/>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58"/>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58"/>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58"/>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58"/>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58"/>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58"/>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58"/>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58"/>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58"/>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58"/>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58"/>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58"/>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58"/>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58"/>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58"/>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58"/>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58"/>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58"/>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58"/>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58"/>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58"/>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58"/>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58"/>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58"/>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58"/>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58"/>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58"/>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58"/>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58"/>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58"/>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58"/>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58"/>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58"/>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58"/>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58"/>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58"/>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58"/>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58"/>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58"/>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58"/>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58"/>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58"/>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58"/>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58"/>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58"/>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58"/>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58"/>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58"/>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58"/>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58"/>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58"/>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58"/>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58"/>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58"/>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58"/>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58"/>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58"/>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58"/>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58"/>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58"/>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58"/>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58"/>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58"/>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58"/>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58"/>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58"/>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58"/>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58"/>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58"/>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58"/>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58"/>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58"/>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58"/>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58"/>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58"/>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58"/>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58"/>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58"/>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58"/>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58"/>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58"/>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58"/>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58"/>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58"/>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58"/>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58"/>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58"/>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58"/>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58"/>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58"/>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58"/>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58"/>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58"/>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58"/>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58"/>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58"/>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58"/>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58"/>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58"/>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58"/>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58"/>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58"/>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58"/>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58"/>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58"/>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58"/>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58"/>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58"/>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58"/>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58"/>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58"/>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58"/>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58"/>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58"/>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58"/>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58"/>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58"/>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58"/>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58"/>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58"/>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58"/>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58"/>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58"/>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58"/>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58"/>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58"/>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58"/>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58"/>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58"/>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58"/>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58"/>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58"/>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58"/>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58"/>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58"/>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58"/>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58"/>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58"/>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58"/>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58"/>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58"/>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58"/>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58"/>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58"/>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58"/>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58"/>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58"/>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58"/>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58"/>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58"/>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58"/>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58"/>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58"/>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58"/>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58"/>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58"/>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58"/>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58"/>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58"/>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58"/>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58"/>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58"/>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58"/>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58"/>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58"/>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58"/>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58"/>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58"/>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58"/>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58"/>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58"/>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58"/>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58"/>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58"/>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58"/>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58"/>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58"/>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58"/>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58"/>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58"/>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58"/>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58"/>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58"/>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58"/>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58"/>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58"/>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58"/>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58"/>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58"/>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58"/>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58"/>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58"/>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58"/>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58"/>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58"/>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58"/>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58"/>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58"/>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58"/>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58"/>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58"/>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58"/>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58"/>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58"/>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58"/>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58"/>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58"/>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58"/>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58"/>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58"/>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58"/>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58"/>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58"/>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58"/>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58"/>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58"/>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58"/>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58"/>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58"/>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58"/>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58"/>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58"/>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58"/>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58"/>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58"/>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58"/>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58"/>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58"/>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58"/>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58"/>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58"/>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58"/>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58"/>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58"/>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58"/>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58"/>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58"/>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58"/>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58"/>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58"/>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58"/>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58"/>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58"/>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58"/>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58"/>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58"/>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58"/>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58"/>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58"/>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58"/>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58"/>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58"/>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58"/>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58"/>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58"/>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58"/>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58"/>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58"/>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58"/>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58"/>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58"/>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58"/>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58"/>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58"/>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58"/>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58"/>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58"/>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58"/>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58"/>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58"/>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58"/>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58"/>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58"/>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58"/>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58"/>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58"/>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58"/>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58"/>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58"/>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58"/>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58"/>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58"/>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58"/>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58"/>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58"/>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58"/>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58"/>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58"/>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58"/>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58"/>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58"/>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58"/>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58"/>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58"/>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58"/>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58"/>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58"/>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58"/>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58"/>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58"/>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58"/>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58"/>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58"/>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58"/>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58"/>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58"/>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58"/>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58"/>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58"/>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58"/>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58"/>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58"/>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58"/>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58"/>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58"/>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58"/>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58"/>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58"/>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58"/>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58"/>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58"/>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58"/>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58"/>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58"/>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58"/>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58"/>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58"/>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58"/>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58"/>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58"/>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58"/>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58"/>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58"/>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58"/>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58"/>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58"/>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58"/>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58"/>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58"/>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58"/>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58"/>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58"/>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58"/>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58"/>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58"/>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58"/>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58"/>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58"/>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58"/>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58"/>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58"/>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58"/>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58"/>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58"/>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58"/>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58"/>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58"/>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58"/>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58"/>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58"/>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58"/>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58"/>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58"/>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58"/>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58"/>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58"/>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58"/>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58"/>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58"/>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58"/>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58"/>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58"/>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58"/>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58"/>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58"/>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58"/>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58"/>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58"/>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58"/>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58"/>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58"/>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58"/>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58"/>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58"/>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58"/>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58"/>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58"/>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58"/>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58"/>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58"/>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58"/>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58"/>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58"/>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58"/>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58"/>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58"/>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58"/>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58"/>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58"/>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58"/>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58"/>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58"/>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58"/>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58"/>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58"/>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58"/>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58"/>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58"/>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58"/>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58"/>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58"/>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58"/>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58"/>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58"/>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58"/>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58"/>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58"/>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58"/>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58"/>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58"/>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58"/>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58"/>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58"/>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58"/>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58"/>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58"/>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58"/>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58"/>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58"/>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58"/>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58"/>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58"/>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58"/>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58"/>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58"/>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58"/>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58"/>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58"/>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58"/>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58"/>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58"/>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58"/>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58"/>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58"/>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58"/>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58"/>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58"/>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58"/>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58"/>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58"/>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58"/>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58"/>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58"/>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58"/>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58"/>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58"/>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58"/>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58"/>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58"/>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58"/>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58"/>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58"/>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58"/>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58"/>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58"/>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58"/>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58"/>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58"/>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58"/>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58"/>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58"/>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58"/>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58"/>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58"/>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58"/>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58"/>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58"/>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58"/>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58"/>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58"/>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58"/>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58"/>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58"/>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58"/>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58"/>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58"/>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58"/>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58"/>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58"/>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58"/>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58"/>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58"/>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58"/>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58"/>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58"/>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58"/>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58"/>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58"/>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58"/>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58"/>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58"/>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58"/>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58"/>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58"/>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58"/>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58"/>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58"/>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58"/>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58"/>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58"/>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58"/>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58"/>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58"/>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58"/>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58"/>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58"/>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58"/>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58"/>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58"/>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58"/>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58"/>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58"/>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58"/>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58"/>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58"/>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58"/>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58"/>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58"/>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58"/>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58"/>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58"/>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58"/>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58"/>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58"/>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58"/>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58"/>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58"/>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58"/>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58"/>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58"/>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58"/>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58"/>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58"/>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58"/>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58"/>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58"/>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58"/>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58"/>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58"/>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58"/>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58"/>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58"/>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58"/>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58"/>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58"/>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58"/>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58"/>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58"/>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58"/>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58"/>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58"/>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58"/>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58"/>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58"/>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58"/>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58"/>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58"/>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58"/>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58"/>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58"/>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58"/>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58"/>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58"/>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58"/>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58"/>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58"/>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58"/>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58"/>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58"/>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58"/>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58"/>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58"/>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58"/>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58"/>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58"/>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58"/>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58"/>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58"/>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58"/>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58"/>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58"/>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58"/>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58"/>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58"/>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58"/>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58"/>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58"/>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58"/>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58"/>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58"/>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58"/>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58"/>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58"/>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58"/>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58"/>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58"/>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58"/>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58"/>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58"/>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58"/>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58"/>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58"/>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58"/>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58"/>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58"/>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58"/>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58"/>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58"/>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58"/>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58"/>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58"/>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58"/>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58"/>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58"/>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58"/>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58"/>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58"/>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58"/>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58"/>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58"/>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58"/>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58"/>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58"/>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58"/>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58"/>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58"/>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58"/>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58"/>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58"/>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58"/>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58"/>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58"/>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58"/>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58"/>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58"/>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58"/>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58"/>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58"/>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58"/>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58"/>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58"/>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58"/>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58"/>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58"/>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58"/>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58"/>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58"/>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58"/>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58"/>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58"/>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58"/>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58"/>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58"/>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58"/>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58"/>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58"/>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58"/>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58"/>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58"/>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58"/>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58"/>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58"/>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58">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58">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58">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58">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58">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58">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58">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58">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58">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58">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58">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58">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58">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58">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58">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58">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58">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58">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58">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58">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58">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58">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58">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58">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58">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58">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58">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58">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58">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58">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58">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58">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58">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58">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58">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58">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58">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58">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58">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58">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58">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58">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58">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58">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58">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58">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58">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58">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58">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58">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58">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58">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58">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58">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58">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58">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58">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58">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58">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58">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58">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58">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58">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58">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58">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58">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58">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58">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58">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58">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58">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58">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58">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58">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58">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58">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58">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58">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58">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58">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58">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58">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58">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58">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58">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58">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58">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58">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58">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58">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58">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58">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58">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58">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58">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58">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58">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58">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58">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58">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58">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58">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58">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58">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58">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58">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58">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58">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58">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58">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58">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58">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58">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58">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58">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58">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58">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58">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58">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58">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58">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58">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58">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58">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58">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58">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58">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58">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58">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58">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58">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58">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58">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58">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58">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58">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58">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58">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58">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58">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58">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58">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58">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58">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58">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58">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58">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58">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58">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58">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58">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58">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58">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58">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58">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58">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58">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58">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58">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58">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58">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58">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58">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58">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58">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58">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58">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58">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58">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58">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58">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58">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58">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58">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58">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58">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58">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58">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58">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58">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58">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58">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58">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58">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58">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58">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58">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58">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58">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58">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58">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58">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58">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58">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58">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58">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58">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58">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58">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58">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58">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58">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58">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58">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58">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58">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58">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58">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58">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58">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58">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58">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58">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58">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58">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58">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58">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58">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58">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58">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58">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58">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58">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58">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58">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58">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58">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58">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58">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58">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58">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58">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58">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58">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58">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58">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58">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58">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58">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58">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58">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58">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58">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58">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58">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58">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58">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58">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58">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58">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58">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58">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58">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58">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58">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58">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58">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58">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58">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58">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58">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58">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58">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58">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58">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58">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58">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58">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58">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58">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58">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58">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58">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58">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58">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58">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58">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58">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58">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58">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58">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58">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58">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58">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58">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58">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58">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58">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58">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58">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58">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58">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58">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58">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58">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58">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58">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58">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58">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58">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58">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58">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58">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58">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58">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58">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58">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58">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58">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58">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58">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58">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58">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58">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58">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58">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58">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58">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58">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58">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58">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58">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58">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58">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58">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58">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58">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58">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58">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58">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58">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58">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58">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58">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58">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58">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58">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58">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58">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58">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58">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58">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58">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58">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58">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58">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58">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58">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58">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58">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58">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58">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58">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58">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58">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58">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58">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58">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58">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58">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58">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58">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58">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58">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58">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58">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58">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58">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58">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58">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58">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58">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58">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58">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58">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58">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58">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58">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58">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58">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58">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58">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58">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58">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58">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58">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58">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58">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58">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58">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58">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58">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58">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58">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58">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58">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58">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58">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58">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58">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58">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58">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58">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58">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58">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58">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58">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58">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58">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58">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58">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58">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58">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58">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58">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58">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58">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58">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58">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58">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58">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58">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58">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58">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58">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58">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58">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58">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58">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58">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58">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58">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58">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58">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58">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58">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58">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58">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58">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58">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58">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58">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58">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58">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58">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58">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58">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58">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58">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58">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58">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58">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58">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58">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58">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58">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58">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58">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58">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58">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58">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58">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58">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58">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58">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58">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58">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58">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58">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58">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58">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58">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58">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58">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58">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58">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58">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58">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58">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58">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58">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58">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58">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58">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58">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58">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58">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58">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58">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58">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58">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58">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58">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58">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58">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58">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58">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58">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58">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58">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58">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58">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58">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58">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58">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58">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58">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58">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58">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58">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58">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58">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58">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58">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58">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58">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58">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58">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58">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58">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58">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58">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58">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58">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58">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58">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58">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58">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58">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58">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58">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58">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58">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58">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58">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58">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58">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58">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58">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58">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58">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58">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58">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58">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58">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58">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58">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58">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58">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58">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58">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58">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58">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58">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58">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58">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58">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58">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58">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58">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58">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58">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58">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58">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58">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58">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58">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58">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58">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58">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58">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58">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58">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58">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58">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58">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58">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58">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58">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58">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58">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58">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58">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58">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58">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58">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58">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58">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58">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58">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58">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58">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58">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58">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58">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58">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58">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58">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58">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58">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58">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58">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58">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58">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58">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58">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58">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58">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58">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58">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58">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58">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58">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58">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58">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58">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58">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58">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58">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58">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58">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58">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58">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58">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58">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58">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58">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58">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58">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58">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58">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58">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58">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58">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58">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58">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58">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58">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58">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58">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58">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58">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58">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58">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58">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58">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58">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58">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58">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58">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58">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58">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58">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58">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58">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58">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58">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58">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58">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58">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58">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58">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58">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58">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58">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58">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58">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58">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58">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58">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58">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58">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58">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58">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58">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58">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58">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58">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58">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58">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58">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58">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58">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58">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58">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58">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58">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58">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58">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58">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58">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58">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58">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58">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58">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58">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58">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58">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58">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58">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58">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58">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58">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58">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58">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58">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58">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58">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58">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58">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58">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58">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58">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58">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58">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58">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58">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58">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58">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58">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58">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58">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58">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58">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58">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58">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58">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58">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58">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58">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58">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58">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58">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58">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58">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58">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58">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58">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58">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58">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58">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58">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58">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58">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58">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58">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58">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58">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58">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58">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58">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58">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58">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58">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58">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58">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58">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58">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58">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58">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58">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58">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58">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58">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58">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58">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58">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58">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58">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58">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58">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58">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58">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58">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58">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58">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58">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58">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58">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58">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58">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58">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58">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58">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58">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58">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58">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58">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58">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58">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58">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58">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58">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58">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58">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58">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58">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58">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58">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58">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58">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58">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58">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58">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58">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58">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58">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58">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58">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58">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58">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58">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58">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58">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58">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58">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58">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58">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58">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58">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58">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58">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58">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58">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58">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58">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58">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58">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58">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58">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58">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58">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58">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58">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58">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58">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58">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58">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58">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58">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58">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58">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58">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58">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58">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58">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58">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58">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58">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58">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58">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58">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58">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58">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58">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58">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58">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58">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58">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58">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58">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58">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58">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58">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58">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58">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58">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58">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58">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58">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58">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58">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58">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58">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58">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58">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58">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58">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58">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58">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58">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58">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58">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58">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58">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58">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58">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58">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58">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58">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58">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58">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58">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58">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58">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58">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58">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58">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58">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58">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58">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58">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58">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58">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58">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58">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58">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58">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58">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58">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58">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58">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58">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58">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58">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58">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58">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58">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58">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58">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58">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58">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58">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58">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58">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58">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58">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58">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58">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58">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58">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58">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58">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58">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58">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58">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58">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58">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58">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58">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58">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58">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58">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58">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58">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58">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58">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58">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58">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58">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58">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58">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58">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58">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58">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58">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58">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58">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58">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58">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58">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58">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58">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58">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58">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58">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58">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58">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58">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58">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58">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58">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58">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58">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58">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58">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58">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58">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58">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58">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58">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58">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58">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58">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58">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58">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58">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58">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58">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58">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58">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58">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58">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58">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58">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58">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58">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58">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58">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58">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58">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58">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58">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58">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58">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58">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58">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58">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58">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58">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58">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58">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58">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58">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58">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58">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58">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58">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58">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58">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58">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58">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58">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58">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58">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58">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58">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58">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58">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58">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58">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58">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58">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58">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58">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58">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58">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58">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58">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58">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58">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58">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58">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58">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58">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58">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58">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58">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58">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58">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58">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58">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58">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58">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58">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58">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58">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58">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58">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58">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58">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58">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58">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58">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58">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58">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58">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58">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58">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58">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58">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58">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58">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58">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58">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58">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58">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58">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58">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58">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58">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58">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58">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58">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58">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58">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58">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58">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58">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58">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58">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58">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58">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58">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58">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58">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58">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58">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58">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58">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58">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58">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58">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58">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58">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58">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58">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58">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58">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58">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58">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58">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58">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58">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58">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58">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58">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58">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58">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58">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58">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58">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58">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58">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58">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58">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58">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58">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58">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58">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58">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58">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58">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58">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58">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58">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58">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58">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58">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58">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58">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58">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58">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58">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58">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58">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58">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58">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58">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58">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58">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58">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58">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58">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58">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58">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58">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58">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58">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58">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58">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58">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58">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58">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58">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58">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58">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58">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58">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58">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58">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58">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58">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58">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58">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58">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58">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58">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58">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58">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58">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58">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58">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58">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58">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58">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58">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58">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58">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58">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58">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58">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58">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58">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58">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58">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58">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58">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58">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58">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58">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58">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58">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58">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58">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58">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58">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58">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58">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58">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58">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58">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58">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58">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58">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58">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58">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58">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58">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58">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58">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58">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58">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58">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58">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58">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58">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58">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58">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58">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58">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58">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58">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58">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58">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58">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58">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58">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58">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58">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58">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58">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58">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58">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58">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58">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58">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58">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58">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58">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58">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58">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58">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58">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58">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58">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58">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58">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58">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58">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58">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58">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58">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58">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58">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58">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58">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58">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58">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58">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58">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58">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58">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58">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58">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58">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58">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58">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58">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58">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58">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58">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58">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58">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58">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58">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58">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58">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58">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58">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58">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58">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58">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58">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58">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58">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58">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58">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58">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58">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58">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58">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58">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58">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58">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58">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58">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58">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58">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58">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58">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58">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58">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58">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58">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58">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58">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58">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58">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58">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58">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58">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58">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58">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58">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58">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58">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58">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58">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58">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58">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58">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58">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58">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58">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58">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58">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58">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58">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58">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58">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58">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58">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58">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58">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58">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58">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58">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58">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58">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58">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58">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58">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58">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58">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58">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58">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58">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58">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58">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58">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58">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58">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58">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58">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58">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58">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58">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58">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58">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58">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58">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58">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58">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58">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58">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58">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58">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58">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58">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58">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58">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58">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58">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58">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58">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58">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58">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58">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58">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58">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58">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58">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58">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58">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58">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58">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58">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58">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58">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58">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58">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58">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58">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58">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58">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58">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58">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58">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58">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58">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58">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58">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58">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58">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58">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58">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58">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58">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58">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58">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58">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58">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58">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58">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58">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58">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58">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58">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58">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58">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58">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58">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58">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58">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58">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58">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58">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58">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58">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58">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58">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58">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58">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58">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58">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58">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58">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58">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58">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58">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58">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58">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58">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58">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58">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58">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58">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58">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58">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58">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58">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58">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58">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58">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58">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58">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58">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58">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58">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58">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58">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58">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58">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58">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58">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58">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58">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58">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58">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58">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58">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58">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58">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58">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58">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58">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58">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58">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58">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58">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58">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58">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58">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58">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58">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58">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58">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58">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58">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58">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58">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58">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58">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58">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58">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58">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58">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58">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58">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58">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58">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58">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58">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58">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58">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58">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58">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58">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58">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58">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58">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58">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58">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58">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58">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58">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58">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58">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58">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58">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58">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58">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58">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58">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58">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58">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58">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58">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58">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58">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58">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58">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58">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58">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58">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58">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58">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58">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58">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58">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58">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58">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58">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58">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58">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58">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58">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58">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58">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58">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58">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58">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58">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58">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58">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58">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58">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58">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58">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58">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58">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58">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58">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58">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58">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58">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58">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58">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58">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58">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58">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58">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58">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58">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58">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58">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58">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58">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58">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58">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58">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58">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57">
        <f>SUM(I3611:I3668)</f>
        <v>13509580</v>
      </c>
      <c r="J3610" s="30">
        <v>0.97940873827939834</v>
      </c>
      <c r="K3610" s="30">
        <v>0.9301784173239408</v>
      </c>
      <c r="L3610" s="158">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58">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58">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58">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58">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58">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58">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58">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58">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58">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58">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58">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58">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58">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58">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58">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58">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58">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58">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58">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58">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58">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58">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58">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58">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58">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58">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58">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58">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58">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58">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58">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58">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58">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58">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58">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58">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58">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58">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58">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58">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58">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58">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58">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58">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58">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58">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58">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58">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58">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58">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58">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58">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58">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58">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58">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58">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58">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58">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58">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58">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58">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58">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58">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58">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58">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58">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58">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58">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58">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58">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58">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58">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58">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58">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58">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58">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58">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58">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58">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58">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58">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58">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58">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58">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58">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58">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58">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58">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58">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58">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58">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58">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58">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58">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58">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58">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58">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58">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58">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58">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58">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58">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58">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58">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58">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58">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58">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58">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58">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58">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58">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58">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58">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58">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58">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58">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58">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58">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58">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58">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58">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58">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58">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58">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58">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58">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58">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58">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58">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58">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58">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58">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58">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58">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58">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58">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58">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58">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58">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58">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58">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58">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58">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58">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58">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58">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58">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58">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58">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58">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58">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58">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58">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58">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58">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58">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58">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58">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58">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58">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58">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58">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58">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58">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58">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58">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58">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58">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58">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58">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58">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58">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58">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58">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58">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58">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58">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58">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58">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58">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58">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58">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58">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58">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58">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58">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58">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58">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58">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58">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58">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58">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58">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58">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58">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58">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58">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58">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58">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58">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58">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58">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58">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58">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58">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58">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58">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58">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58">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58">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58">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58">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58">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58">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58">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58">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58">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58">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58">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58">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58">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58">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58">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58">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58">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58">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58">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58">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58">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58">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58">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58">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58">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58">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58">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58">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58">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58">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58">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58">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58">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58">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58">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58">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58">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58">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58">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58">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58">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58">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58">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58">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58">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58">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58">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58">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58">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58">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58">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58">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58">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58">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58">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58">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58">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58">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58">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58">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58">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58">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58">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58">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58">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58">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58">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58">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58">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58">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58">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58">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58">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58">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58">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58">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58">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58">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58">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58">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58">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58">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58">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58">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58">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58">
        <v>66</v>
      </c>
      <c r="M3904" s="30">
        <v>0.318</v>
      </c>
      <c r="N3904" s="30">
        <v>6.4600000000000005E-2</v>
      </c>
    </row>
    <row r="3905" spans="1:14">
      <c r="A3905" s="56" t="s">
        <v>183</v>
      </c>
      <c r="B3905" s="14" t="s">
        <v>66</v>
      </c>
      <c r="C3905" s="14" t="s">
        <v>64</v>
      </c>
      <c r="D3905" s="14">
        <v>2017</v>
      </c>
      <c r="E3905" s="14">
        <v>2017</v>
      </c>
      <c r="F3905" s="14" t="s">
        <v>265</v>
      </c>
      <c r="G3905" s="26">
        <v>1970777</v>
      </c>
      <c r="H3905" s="26">
        <v>4065857</v>
      </c>
      <c r="I3905" s="53">
        <f>SUM(I3906:I3963)</f>
        <v>13332791</v>
      </c>
      <c r="J3905" s="30">
        <v>0.98644102942192935</v>
      </c>
      <c r="K3905" s="30">
        <v>0.93133280786698192</v>
      </c>
      <c r="L3905" s="158">
        <v>730</v>
      </c>
      <c r="M3905" s="30">
        <v>0.38500000000000001</v>
      </c>
      <c r="N3905" s="30">
        <v>6.2700000000000006E-2</v>
      </c>
    </row>
    <row r="3906" spans="1:14">
      <c r="A3906" s="56" t="s">
        <v>184</v>
      </c>
      <c r="B3906" s="14" t="s">
        <v>77</v>
      </c>
      <c r="C3906" s="14" t="s">
        <v>64</v>
      </c>
      <c r="D3906" s="14">
        <v>2017</v>
      </c>
      <c r="E3906" s="14">
        <v>2017</v>
      </c>
      <c r="F3906" s="14" t="s">
        <v>265</v>
      </c>
      <c r="G3906" s="26">
        <v>56864</v>
      </c>
      <c r="H3906" s="26">
        <v>107183</v>
      </c>
      <c r="I3906" s="53">
        <v>433021</v>
      </c>
      <c r="J3906" s="30" t="s">
        <v>66</v>
      </c>
      <c r="K3906" s="30" t="s">
        <v>66</v>
      </c>
      <c r="L3906" s="158">
        <v>19</v>
      </c>
      <c r="M3906" s="30">
        <v>0.42099999999999999</v>
      </c>
      <c r="N3906" s="30">
        <v>3.3799999999999997E-2</v>
      </c>
    </row>
    <row r="3907" spans="1:14">
      <c r="A3907" s="56" t="s">
        <v>185</v>
      </c>
      <c r="B3907" s="14" t="s">
        <v>78</v>
      </c>
      <c r="C3907" s="14" t="s">
        <v>64</v>
      </c>
      <c r="D3907" s="14">
        <v>2017</v>
      </c>
      <c r="E3907" s="14">
        <v>2017</v>
      </c>
      <c r="F3907" s="14" t="s">
        <v>265</v>
      </c>
      <c r="G3907" s="26">
        <v>76</v>
      </c>
      <c r="H3907" s="26">
        <v>138</v>
      </c>
      <c r="I3907" s="53">
        <v>317</v>
      </c>
      <c r="J3907" s="30">
        <v>1</v>
      </c>
      <c r="K3907" s="30">
        <v>1</v>
      </c>
      <c r="L3907" s="158">
        <v>71</v>
      </c>
      <c r="M3907" s="30">
        <v>0.29599999999999999</v>
      </c>
      <c r="N3907" s="30">
        <v>6.3500000000000001E-2</v>
      </c>
    </row>
    <row r="3908" spans="1:14">
      <c r="A3908" s="56" t="s">
        <v>186</v>
      </c>
      <c r="B3908" s="14" t="s">
        <v>78</v>
      </c>
      <c r="C3908" s="14" t="s">
        <v>64</v>
      </c>
      <c r="D3908" s="14">
        <v>2017</v>
      </c>
      <c r="E3908" s="14">
        <v>2017</v>
      </c>
      <c r="F3908" s="14" t="s">
        <v>265</v>
      </c>
      <c r="G3908" s="26">
        <v>1649</v>
      </c>
      <c r="H3908" s="26">
        <v>2999</v>
      </c>
      <c r="I3908" s="53">
        <v>8197</v>
      </c>
      <c r="J3908" s="30">
        <v>0.9438202247191011</v>
      </c>
      <c r="K3908" s="30">
        <v>0.98181818181818181</v>
      </c>
      <c r="L3908" s="158">
        <v>71</v>
      </c>
      <c r="M3908" s="30">
        <v>0.29599999999999999</v>
      </c>
      <c r="N3908" s="30">
        <v>6.3500000000000001E-2</v>
      </c>
    </row>
    <row r="3909" spans="1:14">
      <c r="A3909" s="56" t="s">
        <v>187</v>
      </c>
      <c r="B3909" s="14" t="s">
        <v>78</v>
      </c>
      <c r="C3909" s="14" t="s">
        <v>64</v>
      </c>
      <c r="D3909" s="14">
        <v>2017</v>
      </c>
      <c r="E3909" s="14">
        <v>2017</v>
      </c>
      <c r="F3909" s="14" t="s">
        <v>265</v>
      </c>
      <c r="G3909" s="26">
        <v>16651</v>
      </c>
      <c r="H3909" s="26">
        <v>30937</v>
      </c>
      <c r="I3909" s="53">
        <v>82969</v>
      </c>
      <c r="J3909" s="30">
        <v>0.92170329670329676</v>
      </c>
      <c r="K3909" s="30">
        <v>0.95777351247600773</v>
      </c>
      <c r="L3909" s="158">
        <v>71</v>
      </c>
      <c r="M3909" s="30">
        <v>0.29599999999999999</v>
      </c>
      <c r="N3909" s="30">
        <v>6.3500000000000001E-2</v>
      </c>
    </row>
    <row r="3910" spans="1:14">
      <c r="A3910" s="56" t="s">
        <v>188</v>
      </c>
      <c r="B3910" s="14" t="s">
        <v>78</v>
      </c>
      <c r="C3910" s="14" t="s">
        <v>64</v>
      </c>
      <c r="D3910" s="14">
        <v>2017</v>
      </c>
      <c r="E3910" s="14">
        <v>2017</v>
      </c>
      <c r="F3910" s="14" t="s">
        <v>265</v>
      </c>
      <c r="G3910" s="26">
        <v>2785</v>
      </c>
      <c r="H3910" s="26">
        <v>4980</v>
      </c>
      <c r="I3910" s="53">
        <v>12062</v>
      </c>
      <c r="J3910" s="30">
        <v>0.96946564885496178</v>
      </c>
      <c r="K3910" s="30">
        <v>0.94047619047619047</v>
      </c>
      <c r="L3910" s="158">
        <v>71</v>
      </c>
      <c r="M3910" s="30">
        <v>0.29599999999999999</v>
      </c>
      <c r="N3910" s="30">
        <v>6.3500000000000001E-2</v>
      </c>
    </row>
    <row r="3911" spans="1:14">
      <c r="A3911" s="56" t="s">
        <v>189</v>
      </c>
      <c r="B3911" s="14" t="s">
        <v>78</v>
      </c>
      <c r="C3911" s="14" t="s">
        <v>64</v>
      </c>
      <c r="D3911" s="14">
        <v>2017</v>
      </c>
      <c r="E3911" s="14">
        <v>2017</v>
      </c>
      <c r="F3911" s="14" t="s">
        <v>265</v>
      </c>
      <c r="G3911" s="26">
        <v>687</v>
      </c>
      <c r="H3911" s="26">
        <v>1527</v>
      </c>
      <c r="I3911" s="53">
        <v>9093</v>
      </c>
      <c r="J3911" s="30">
        <v>1</v>
      </c>
      <c r="K3911" s="30">
        <v>1</v>
      </c>
      <c r="L3911" s="158">
        <v>71</v>
      </c>
      <c r="M3911" s="30">
        <v>0.29599999999999999</v>
      </c>
      <c r="N3911" s="30">
        <v>6.3500000000000001E-2</v>
      </c>
    </row>
    <row r="3912" spans="1:14">
      <c r="A3912" s="56" t="s">
        <v>190</v>
      </c>
      <c r="B3912" s="14" t="s">
        <v>77</v>
      </c>
      <c r="C3912" s="14" t="s">
        <v>64</v>
      </c>
      <c r="D3912" s="14">
        <v>2017</v>
      </c>
      <c r="E3912" s="14">
        <v>2017</v>
      </c>
      <c r="F3912" s="14" t="s">
        <v>265</v>
      </c>
      <c r="G3912" s="26">
        <v>31242</v>
      </c>
      <c r="H3912" s="26">
        <v>62388</v>
      </c>
      <c r="I3912" s="53">
        <v>271180</v>
      </c>
      <c r="J3912" s="30">
        <v>0.97601668404588116</v>
      </c>
      <c r="K3912" s="30">
        <v>0.97815533980582525</v>
      </c>
      <c r="L3912" s="158">
        <v>12</v>
      </c>
      <c r="M3912" s="30">
        <v>0.33300000000000002</v>
      </c>
      <c r="N3912" s="30">
        <v>5.9499999999999997E-2</v>
      </c>
    </row>
    <row r="3913" spans="1:14">
      <c r="A3913" s="56" t="s">
        <v>191</v>
      </c>
      <c r="B3913" s="14" t="s">
        <v>78</v>
      </c>
      <c r="C3913" s="14" t="s">
        <v>64</v>
      </c>
      <c r="D3913" s="14">
        <v>2017</v>
      </c>
      <c r="E3913" s="14">
        <v>2017</v>
      </c>
      <c r="F3913" s="14" t="s">
        <v>265</v>
      </c>
      <c r="G3913" s="26">
        <v>2564</v>
      </c>
      <c r="H3913" s="26">
        <v>5249</v>
      </c>
      <c r="I3913" s="53">
        <v>12019</v>
      </c>
      <c r="J3913" s="30">
        <v>0.98863636363636365</v>
      </c>
      <c r="K3913" s="30">
        <v>0.92537313432835822</v>
      </c>
      <c r="L3913" s="158">
        <v>71</v>
      </c>
      <c r="M3913" s="30">
        <v>0.29599999999999999</v>
      </c>
      <c r="N3913" s="30">
        <v>6.3500000000000001E-2</v>
      </c>
    </row>
    <row r="3914" spans="1:14">
      <c r="A3914" s="56" t="s">
        <v>192</v>
      </c>
      <c r="B3914" s="14" t="s">
        <v>78</v>
      </c>
      <c r="C3914" s="14" t="s">
        <v>64</v>
      </c>
      <c r="D3914" s="14">
        <v>2017</v>
      </c>
      <c r="E3914" s="14">
        <v>2017</v>
      </c>
      <c r="F3914" s="14" t="s">
        <v>265</v>
      </c>
      <c r="G3914" s="26">
        <v>6817</v>
      </c>
      <c r="H3914" s="26">
        <v>12046</v>
      </c>
      <c r="I3914" s="53">
        <v>38830</v>
      </c>
      <c r="J3914" s="30">
        <v>0.99680511182108622</v>
      </c>
      <c r="K3914" s="30">
        <v>0.98706896551724133</v>
      </c>
      <c r="L3914" s="158">
        <v>71</v>
      </c>
      <c r="M3914" s="30">
        <v>0.29599999999999999</v>
      </c>
      <c r="N3914" s="30">
        <v>6.3500000000000001E-2</v>
      </c>
    </row>
    <row r="3915" spans="1:14">
      <c r="A3915" s="106" t="s">
        <v>134</v>
      </c>
      <c r="B3915" s="14" t="s">
        <v>77</v>
      </c>
      <c r="C3915" s="14" t="s">
        <v>64</v>
      </c>
      <c r="D3915" s="14">
        <v>2017</v>
      </c>
      <c r="E3915" s="14">
        <v>2017</v>
      </c>
      <c r="F3915" s="14" t="s">
        <v>265</v>
      </c>
      <c r="G3915" s="26">
        <v>87986</v>
      </c>
      <c r="H3915" s="26">
        <v>203978</v>
      </c>
      <c r="I3915" s="53">
        <v>491981</v>
      </c>
      <c r="J3915" s="30">
        <v>0.97408829174664102</v>
      </c>
      <c r="K3915" s="30">
        <v>0.94849023090586149</v>
      </c>
      <c r="L3915" s="158">
        <v>35</v>
      </c>
      <c r="M3915" s="30">
        <v>0.4</v>
      </c>
      <c r="N3915" s="30">
        <v>3.6700000000000003E-2</v>
      </c>
    </row>
    <row r="3916" spans="1:14">
      <c r="A3916" s="106" t="s">
        <v>135</v>
      </c>
      <c r="B3916" s="14" t="s">
        <v>78</v>
      </c>
      <c r="C3916" s="14" t="s">
        <v>64</v>
      </c>
      <c r="D3916" s="14">
        <v>2017</v>
      </c>
      <c r="E3916" s="14">
        <v>2017</v>
      </c>
      <c r="F3916" s="14" t="s">
        <v>265</v>
      </c>
      <c r="G3916" s="26">
        <v>1469</v>
      </c>
      <c r="H3916" s="26">
        <v>3359</v>
      </c>
      <c r="I3916" s="53">
        <v>12461</v>
      </c>
      <c r="J3916" s="30">
        <v>1</v>
      </c>
      <c r="K3916" s="30">
        <v>0.92105263157894735</v>
      </c>
      <c r="L3916" s="158">
        <v>71</v>
      </c>
      <c r="M3916" s="30">
        <v>0.29599999999999999</v>
      </c>
      <c r="N3916" s="30">
        <v>6.3500000000000001E-2</v>
      </c>
    </row>
    <row r="3917" spans="1:14">
      <c r="A3917" s="106" t="s">
        <v>136</v>
      </c>
      <c r="B3917" s="14" t="s">
        <v>78</v>
      </c>
      <c r="C3917" s="14" t="s">
        <v>64</v>
      </c>
      <c r="D3917" s="14">
        <v>2017</v>
      </c>
      <c r="E3917" s="14">
        <v>2017</v>
      </c>
      <c r="F3917" s="14" t="s">
        <v>265</v>
      </c>
      <c r="G3917" s="26">
        <v>12014</v>
      </c>
      <c r="H3917" s="26">
        <v>20316</v>
      </c>
      <c r="I3917" s="53">
        <v>55401</v>
      </c>
      <c r="J3917" s="30">
        <v>0.99293286219081267</v>
      </c>
      <c r="K3917" s="30">
        <v>0.98280098280098283</v>
      </c>
      <c r="L3917" s="158">
        <v>71</v>
      </c>
      <c r="M3917" s="30">
        <v>0.29599999999999999</v>
      </c>
      <c r="N3917" s="30">
        <v>6.3500000000000001E-2</v>
      </c>
    </row>
    <row r="3918" spans="1:14">
      <c r="A3918" s="106" t="s">
        <v>137</v>
      </c>
      <c r="B3918" s="14" t="s">
        <v>78</v>
      </c>
      <c r="C3918" s="14" t="s">
        <v>64</v>
      </c>
      <c r="D3918" s="14">
        <v>2017</v>
      </c>
      <c r="E3918" s="14">
        <v>2017</v>
      </c>
      <c r="F3918" s="14" t="s">
        <v>265</v>
      </c>
      <c r="G3918" s="26">
        <v>17191</v>
      </c>
      <c r="H3918" s="26">
        <v>41667</v>
      </c>
      <c r="I3918" s="53">
        <v>94915</v>
      </c>
      <c r="J3918" s="30">
        <v>0.97153465346534651</v>
      </c>
      <c r="K3918" s="30">
        <v>0.94479830148619959</v>
      </c>
      <c r="L3918" s="158">
        <v>71</v>
      </c>
      <c r="M3918" s="30">
        <v>0.29599999999999999</v>
      </c>
      <c r="N3918" s="30">
        <v>6.3500000000000001E-2</v>
      </c>
    </row>
    <row r="3919" spans="1:14">
      <c r="A3919" s="106" t="s">
        <v>138</v>
      </c>
      <c r="B3919" s="14" t="s">
        <v>78</v>
      </c>
      <c r="C3919" s="14" t="s">
        <v>64</v>
      </c>
      <c r="D3919" s="14">
        <v>2017</v>
      </c>
      <c r="E3919" s="14">
        <v>2017</v>
      </c>
      <c r="F3919" s="14" t="s">
        <v>265</v>
      </c>
      <c r="G3919" s="26">
        <v>1012</v>
      </c>
      <c r="H3919" s="26">
        <v>1936</v>
      </c>
      <c r="I3919" s="53">
        <v>5505</v>
      </c>
      <c r="J3919" s="30">
        <v>0.98360655737704916</v>
      </c>
      <c r="K3919" s="30">
        <v>0.95652173913043481</v>
      </c>
      <c r="L3919" s="158">
        <v>71</v>
      </c>
      <c r="M3919" s="30">
        <v>0.29599999999999999</v>
      </c>
      <c r="N3919" s="30">
        <v>6.3500000000000001E-2</v>
      </c>
    </row>
    <row r="3920" spans="1:14">
      <c r="A3920" s="106" t="s">
        <v>139</v>
      </c>
      <c r="B3920" s="14" t="s">
        <v>78</v>
      </c>
      <c r="C3920" s="14" t="s">
        <v>64</v>
      </c>
      <c r="D3920" s="14">
        <v>2017</v>
      </c>
      <c r="E3920" s="14">
        <v>2017</v>
      </c>
      <c r="F3920" s="14" t="s">
        <v>265</v>
      </c>
      <c r="G3920" s="26">
        <v>68701</v>
      </c>
      <c r="H3920" s="26">
        <v>159585</v>
      </c>
      <c r="I3920" s="53">
        <v>412928</v>
      </c>
      <c r="J3920" s="30">
        <v>0.98810214741729541</v>
      </c>
      <c r="K3920" s="30">
        <v>0.92284085927224901</v>
      </c>
      <c r="L3920" s="158">
        <v>18</v>
      </c>
      <c r="M3920" s="30">
        <v>0.222</v>
      </c>
      <c r="N3920" s="30">
        <v>1.6299999999999999E-2</v>
      </c>
    </row>
    <row r="3921" spans="1:14">
      <c r="A3921" s="106" t="s">
        <v>140</v>
      </c>
      <c r="B3921" s="14" t="s">
        <v>78</v>
      </c>
      <c r="C3921" s="14" t="s">
        <v>64</v>
      </c>
      <c r="D3921" s="14">
        <v>2017</v>
      </c>
      <c r="E3921" s="14">
        <v>2017</v>
      </c>
      <c r="F3921" s="14" t="s">
        <v>265</v>
      </c>
      <c r="G3921" s="26">
        <v>10493</v>
      </c>
      <c r="H3921" s="26">
        <v>23734</v>
      </c>
      <c r="I3921" s="53">
        <v>57512</v>
      </c>
      <c r="J3921" s="30">
        <v>1</v>
      </c>
      <c r="K3921" s="30">
        <v>0.93582887700534756</v>
      </c>
      <c r="L3921" s="158">
        <v>71</v>
      </c>
      <c r="M3921" s="30">
        <v>0.29599999999999999</v>
      </c>
      <c r="N3921" s="30">
        <v>6.3500000000000001E-2</v>
      </c>
    </row>
    <row r="3922" spans="1:14">
      <c r="A3922" s="106" t="s">
        <v>141</v>
      </c>
      <c r="B3922" s="14" t="s">
        <v>78</v>
      </c>
      <c r="C3922" s="14" t="s">
        <v>64</v>
      </c>
      <c r="D3922" s="14">
        <v>2017</v>
      </c>
      <c r="E3922" s="14">
        <v>2017</v>
      </c>
      <c r="F3922" s="14" t="s">
        <v>265</v>
      </c>
      <c r="G3922" s="26">
        <v>6351</v>
      </c>
      <c r="H3922" s="26">
        <v>11765</v>
      </c>
      <c r="I3922" s="53">
        <v>32733</v>
      </c>
      <c r="J3922" s="30">
        <v>0.93846153846153846</v>
      </c>
      <c r="K3922" s="30">
        <v>0.91764705882352937</v>
      </c>
      <c r="L3922" s="158">
        <v>71</v>
      </c>
      <c r="M3922" s="30">
        <v>0.29599999999999999</v>
      </c>
      <c r="N3922" s="30">
        <v>6.3500000000000001E-2</v>
      </c>
    </row>
    <row r="3923" spans="1:14">
      <c r="A3923" s="106" t="s">
        <v>142</v>
      </c>
      <c r="B3923" s="14" t="s">
        <v>78</v>
      </c>
      <c r="C3923" s="14" t="s">
        <v>64</v>
      </c>
      <c r="D3923" s="14">
        <v>2017</v>
      </c>
      <c r="E3923" s="14">
        <v>2017</v>
      </c>
      <c r="F3923" s="14" t="s">
        <v>265</v>
      </c>
      <c r="G3923" s="26">
        <v>1584</v>
      </c>
      <c r="H3923" s="26">
        <v>3164</v>
      </c>
      <c r="I3923" s="53">
        <v>8075</v>
      </c>
      <c r="J3923" s="30">
        <v>0.91891891891891886</v>
      </c>
      <c r="K3923" s="30">
        <v>0.88888888888888884</v>
      </c>
      <c r="L3923" s="158">
        <v>71</v>
      </c>
      <c r="M3923" s="30">
        <v>0.29599999999999999</v>
      </c>
      <c r="N3923" s="30">
        <v>6.3500000000000001E-2</v>
      </c>
    </row>
    <row r="3924" spans="1:14">
      <c r="A3924" s="106" t="s">
        <v>143</v>
      </c>
      <c r="B3924" s="14" t="s">
        <v>79</v>
      </c>
      <c r="C3924" s="14" t="s">
        <v>64</v>
      </c>
      <c r="D3924" s="14">
        <v>2017</v>
      </c>
      <c r="E3924" s="14">
        <v>2017</v>
      </c>
      <c r="F3924" s="14" t="s">
        <v>265</v>
      </c>
      <c r="G3924" s="26">
        <v>531015</v>
      </c>
      <c r="H3924" s="26">
        <v>1066219</v>
      </c>
      <c r="I3924" s="53">
        <v>3964005</v>
      </c>
      <c r="J3924" s="30">
        <v>0.99006645438183583</v>
      </c>
      <c r="K3924" s="30">
        <v>0.90822669104204756</v>
      </c>
      <c r="L3924" s="158">
        <v>269</v>
      </c>
      <c r="M3924" s="30">
        <v>0.46100000000000002</v>
      </c>
      <c r="N3924" s="30">
        <v>0.113</v>
      </c>
    </row>
    <row r="3925" spans="1:14">
      <c r="A3925" s="106" t="s">
        <v>144</v>
      </c>
      <c r="B3925" s="14" t="s">
        <v>78</v>
      </c>
      <c r="C3925" s="14" t="s">
        <v>64</v>
      </c>
      <c r="D3925" s="14">
        <v>2017</v>
      </c>
      <c r="E3925" s="14">
        <v>2017</v>
      </c>
      <c r="F3925" s="14" t="s">
        <v>265</v>
      </c>
      <c r="G3925" s="26">
        <v>11408</v>
      </c>
      <c r="H3925" s="26">
        <v>27701</v>
      </c>
      <c r="I3925" s="53">
        <v>70277</v>
      </c>
      <c r="J3925" s="30">
        <v>0.99173553719008267</v>
      </c>
      <c r="K3925" s="30">
        <v>0.94117647058823528</v>
      </c>
      <c r="L3925" s="158">
        <v>71</v>
      </c>
      <c r="M3925" s="30">
        <v>0.29599999999999999</v>
      </c>
      <c r="N3925" s="30">
        <v>6.3500000000000001E-2</v>
      </c>
    </row>
    <row r="3926" spans="1:14">
      <c r="A3926" s="106" t="s">
        <v>145</v>
      </c>
      <c r="B3926" s="14" t="s">
        <v>78</v>
      </c>
      <c r="C3926" s="14" t="s">
        <v>64</v>
      </c>
      <c r="D3926" s="14">
        <v>2017</v>
      </c>
      <c r="E3926" s="14">
        <v>2017</v>
      </c>
      <c r="F3926" s="14" t="s">
        <v>265</v>
      </c>
      <c r="G3926" s="26">
        <v>5939</v>
      </c>
      <c r="H3926" s="26">
        <v>9844</v>
      </c>
      <c r="I3926" s="53">
        <v>47528</v>
      </c>
      <c r="J3926" s="30">
        <v>0.97945205479452058</v>
      </c>
      <c r="K3926" s="30">
        <v>0.94054054054054059</v>
      </c>
      <c r="L3926" s="158">
        <v>71</v>
      </c>
      <c r="M3926" s="30">
        <v>0.29599999999999999</v>
      </c>
      <c r="N3926" s="30">
        <v>6.3500000000000001E-2</v>
      </c>
    </row>
    <row r="3927" spans="1:14">
      <c r="A3927" s="106" t="s">
        <v>146</v>
      </c>
      <c r="B3927" s="14" t="s">
        <v>78</v>
      </c>
      <c r="C3927" s="14" t="s">
        <v>64</v>
      </c>
      <c r="D3927" s="14">
        <v>2017</v>
      </c>
      <c r="E3927" s="14">
        <v>2017</v>
      </c>
      <c r="F3927" s="14" t="s">
        <v>265</v>
      </c>
      <c r="G3927" s="26">
        <v>1014</v>
      </c>
      <c r="H3927" s="26">
        <v>1826</v>
      </c>
      <c r="I3927" s="53">
        <v>4842</v>
      </c>
      <c r="J3927" s="30">
        <v>0.8666666666666667</v>
      </c>
      <c r="K3927" s="30">
        <v>0.81081081081081086</v>
      </c>
      <c r="L3927" s="158">
        <v>71</v>
      </c>
      <c r="M3927" s="30">
        <v>0.29599999999999999</v>
      </c>
      <c r="N3927" s="30">
        <v>6.3500000000000001E-2</v>
      </c>
    </row>
    <row r="3928" spans="1:14">
      <c r="A3928" s="106" t="s">
        <v>147</v>
      </c>
      <c r="B3928" s="14" t="s">
        <v>78</v>
      </c>
      <c r="C3928" s="14" t="s">
        <v>64</v>
      </c>
      <c r="D3928" s="14">
        <v>2017</v>
      </c>
      <c r="E3928" s="14">
        <v>2017</v>
      </c>
      <c r="F3928" s="14" t="s">
        <v>265</v>
      </c>
      <c r="G3928" s="26">
        <v>6260</v>
      </c>
      <c r="H3928" s="26">
        <v>11716</v>
      </c>
      <c r="I3928" s="53">
        <v>41538</v>
      </c>
      <c r="J3928" s="30">
        <v>0.96276595744680848</v>
      </c>
      <c r="K3928" s="30">
        <v>0.92996108949416345</v>
      </c>
      <c r="L3928" s="158">
        <v>71</v>
      </c>
      <c r="M3928" s="30">
        <v>0.29599999999999999</v>
      </c>
      <c r="N3928" s="30">
        <v>6.3500000000000001E-2</v>
      </c>
    </row>
    <row r="3929" spans="1:14">
      <c r="A3929" s="106" t="s">
        <v>148</v>
      </c>
      <c r="B3929" s="14" t="s">
        <v>78</v>
      </c>
      <c r="C3929" s="14" t="s">
        <v>64</v>
      </c>
      <c r="D3929" s="14">
        <v>2017</v>
      </c>
      <c r="E3929" s="14">
        <v>2017</v>
      </c>
      <c r="F3929" s="14" t="s">
        <v>265</v>
      </c>
      <c r="G3929" s="26">
        <v>23507</v>
      </c>
      <c r="H3929" s="26">
        <v>54447</v>
      </c>
      <c r="I3929" s="53">
        <v>139939</v>
      </c>
      <c r="J3929" s="30">
        <v>0.98083427282976321</v>
      </c>
      <c r="K3929" s="30">
        <v>0.97936507936507933</v>
      </c>
      <c r="L3929" s="158">
        <v>6</v>
      </c>
      <c r="M3929" s="30">
        <v>0</v>
      </c>
      <c r="N3929" s="30">
        <v>3.3700000000000001E-2</v>
      </c>
    </row>
    <row r="3930" spans="1:14">
      <c r="A3930" s="106" t="s">
        <v>149</v>
      </c>
      <c r="B3930" s="14" t="s">
        <v>78</v>
      </c>
      <c r="C3930" s="14" t="s">
        <v>64</v>
      </c>
      <c r="D3930" s="14">
        <v>2017</v>
      </c>
      <c r="E3930" s="14">
        <v>2017</v>
      </c>
      <c r="F3930" s="14" t="s">
        <v>265</v>
      </c>
      <c r="G3930" s="26">
        <v>540</v>
      </c>
      <c r="H3930" s="26">
        <v>1152</v>
      </c>
      <c r="I3930" s="53">
        <v>3192</v>
      </c>
      <c r="J3930" s="30">
        <v>0.96551724137931039</v>
      </c>
      <c r="K3930" s="30">
        <v>0.95652173913043481</v>
      </c>
      <c r="L3930" s="158">
        <v>71</v>
      </c>
      <c r="M3930" s="30">
        <v>0.29599999999999999</v>
      </c>
      <c r="N3930" s="30">
        <v>6.3500000000000001E-2</v>
      </c>
    </row>
    <row r="3931" spans="1:14">
      <c r="A3931" s="106" t="s">
        <v>150</v>
      </c>
      <c r="B3931" s="14" t="s">
        <v>78</v>
      </c>
      <c r="C3931" s="14" t="s">
        <v>64</v>
      </c>
      <c r="D3931" s="14">
        <v>2017</v>
      </c>
      <c r="E3931" s="14">
        <v>2017</v>
      </c>
      <c r="F3931" s="14" t="s">
        <v>265</v>
      </c>
      <c r="G3931" s="26">
        <v>393</v>
      </c>
      <c r="H3931" s="26">
        <v>676</v>
      </c>
      <c r="I3931" s="53">
        <v>3743</v>
      </c>
      <c r="J3931" s="30">
        <v>1</v>
      </c>
      <c r="K3931" s="30">
        <v>1</v>
      </c>
      <c r="L3931" s="158">
        <v>71</v>
      </c>
      <c r="M3931" s="30">
        <v>0.29599999999999999</v>
      </c>
      <c r="N3931" s="30">
        <v>6.3500000000000001E-2</v>
      </c>
    </row>
    <row r="3932" spans="1:14">
      <c r="A3932" s="106" t="s">
        <v>151</v>
      </c>
      <c r="B3932" s="14" t="s">
        <v>78</v>
      </c>
      <c r="C3932" s="14" t="s">
        <v>64</v>
      </c>
      <c r="D3932" s="14">
        <v>2017</v>
      </c>
      <c r="E3932" s="14">
        <v>2017</v>
      </c>
      <c r="F3932" s="14" t="s">
        <v>265</v>
      </c>
      <c r="G3932" s="26">
        <v>20137</v>
      </c>
      <c r="H3932" s="26">
        <v>43982</v>
      </c>
      <c r="I3932" s="53">
        <v>186228</v>
      </c>
      <c r="J3932" s="30">
        <v>0.99519230769230771</v>
      </c>
      <c r="K3932" s="30">
        <v>0.96146044624746452</v>
      </c>
      <c r="L3932" s="158">
        <v>6</v>
      </c>
      <c r="M3932" s="30">
        <v>0.33300000000000002</v>
      </c>
      <c r="N3932" s="30">
        <v>2.98E-2</v>
      </c>
    </row>
    <row r="3933" spans="1:14">
      <c r="A3933" s="106" t="s">
        <v>152</v>
      </c>
      <c r="B3933" s="14" t="s">
        <v>78</v>
      </c>
      <c r="C3933" s="14" t="s">
        <v>64</v>
      </c>
      <c r="D3933" s="14">
        <v>2017</v>
      </c>
      <c r="E3933" s="14">
        <v>2017</v>
      </c>
      <c r="F3933" s="14" t="s">
        <v>265</v>
      </c>
      <c r="G3933" s="26">
        <v>3123</v>
      </c>
      <c r="H3933" s="26">
        <v>6168</v>
      </c>
      <c r="I3933" s="53">
        <v>32310</v>
      </c>
      <c r="J3933" s="30">
        <v>0.96116504854368934</v>
      </c>
      <c r="K3933" s="30">
        <v>0.93421052631578949</v>
      </c>
      <c r="L3933" s="158">
        <v>71</v>
      </c>
      <c r="M3933" s="30">
        <v>0.29599999999999999</v>
      </c>
      <c r="N3933" s="30">
        <v>6.3500000000000001E-2</v>
      </c>
    </row>
    <row r="3934" spans="1:14">
      <c r="A3934" s="106" t="s">
        <v>153</v>
      </c>
      <c r="B3934" s="14" t="s">
        <v>78</v>
      </c>
      <c r="C3934" s="14" t="s">
        <v>64</v>
      </c>
      <c r="D3934" s="14">
        <v>2017</v>
      </c>
      <c r="E3934" s="14">
        <v>2017</v>
      </c>
      <c r="F3934" s="14" t="s">
        <v>265</v>
      </c>
      <c r="G3934" s="26">
        <v>4111</v>
      </c>
      <c r="H3934" s="26">
        <v>7099</v>
      </c>
      <c r="I3934" s="53">
        <v>25123</v>
      </c>
      <c r="J3934" s="30">
        <v>0.86602870813397126</v>
      </c>
      <c r="K3934" s="30">
        <v>0.86792452830188682</v>
      </c>
      <c r="L3934" s="158">
        <v>71</v>
      </c>
      <c r="M3934" s="30">
        <v>0.29599999999999999</v>
      </c>
      <c r="N3934" s="30">
        <v>6.3500000000000001E-2</v>
      </c>
    </row>
    <row r="3935" spans="1:14">
      <c r="A3935" s="106" t="s">
        <v>154</v>
      </c>
      <c r="B3935" s="14" t="s">
        <v>77</v>
      </c>
      <c r="C3935" s="14" t="s">
        <v>64</v>
      </c>
      <c r="D3935" s="14">
        <v>2017</v>
      </c>
      <c r="E3935" s="14">
        <v>2017</v>
      </c>
      <c r="F3935" s="14" t="s">
        <v>265</v>
      </c>
      <c r="G3935" s="26">
        <v>115149</v>
      </c>
      <c r="H3935" s="26">
        <v>233056</v>
      </c>
      <c r="I3935" s="53">
        <v>893729</v>
      </c>
      <c r="J3935" s="30">
        <v>0.99607329842931935</v>
      </c>
      <c r="K3935" s="30">
        <v>0.99780509218612823</v>
      </c>
      <c r="L3935" s="158">
        <v>40</v>
      </c>
      <c r="M3935" s="30">
        <v>0.35</v>
      </c>
      <c r="N3935" s="30">
        <v>6.3799999999999996E-2</v>
      </c>
    </row>
    <row r="3936" spans="1:14">
      <c r="A3936" s="106" t="s">
        <v>155</v>
      </c>
      <c r="B3936" s="14" t="s">
        <v>77</v>
      </c>
      <c r="C3936" s="14" t="s">
        <v>64</v>
      </c>
      <c r="D3936" s="14">
        <v>2017</v>
      </c>
      <c r="E3936" s="14">
        <v>2017</v>
      </c>
      <c r="F3936" s="14" t="s">
        <v>265</v>
      </c>
      <c r="G3936" s="26">
        <v>8684</v>
      </c>
      <c r="H3936" s="26">
        <v>16142</v>
      </c>
      <c r="I3936" s="53">
        <v>62032</v>
      </c>
      <c r="J3936" s="30">
        <v>1</v>
      </c>
      <c r="K3936" s="30">
        <v>0.9285714285714286</v>
      </c>
      <c r="L3936" s="158">
        <v>71</v>
      </c>
      <c r="M3936" s="30">
        <v>0.29599999999999999</v>
      </c>
      <c r="N3936" s="30">
        <v>6.3500000000000001E-2</v>
      </c>
    </row>
    <row r="3937" spans="1:14">
      <c r="A3937" s="106" t="s">
        <v>156</v>
      </c>
      <c r="B3937" s="14" t="s">
        <v>78</v>
      </c>
      <c r="C3937" s="14" t="s">
        <v>64</v>
      </c>
      <c r="D3937" s="14">
        <v>2017</v>
      </c>
      <c r="E3937" s="14">
        <v>2017</v>
      </c>
      <c r="F3937" s="14" t="s">
        <v>265</v>
      </c>
      <c r="G3937" s="26">
        <v>1108</v>
      </c>
      <c r="H3937" s="26">
        <v>1950</v>
      </c>
      <c r="I3937" s="53">
        <v>6492</v>
      </c>
      <c r="J3937" s="30">
        <v>1</v>
      </c>
      <c r="K3937" s="30">
        <v>0.83333333333333337</v>
      </c>
      <c r="L3937" s="158">
        <v>71</v>
      </c>
      <c r="M3937" s="30">
        <v>0.29599999999999999</v>
      </c>
      <c r="N3937" s="30">
        <v>6.3500000000000001E-2</v>
      </c>
    </row>
    <row r="3938" spans="1:14">
      <c r="A3938" s="106" t="s">
        <v>157</v>
      </c>
      <c r="B3938" s="14" t="s">
        <v>78</v>
      </c>
      <c r="C3938" s="14" t="s">
        <v>64</v>
      </c>
      <c r="D3938" s="14">
        <v>2017</v>
      </c>
      <c r="E3938" s="14">
        <v>2017</v>
      </c>
      <c r="F3938" s="14" t="s">
        <v>265</v>
      </c>
      <c r="G3938" s="26">
        <v>121753</v>
      </c>
      <c r="H3938" s="26">
        <v>268703</v>
      </c>
      <c r="I3938" s="53">
        <v>835392</v>
      </c>
      <c r="J3938" s="30">
        <v>0.9942117807286347</v>
      </c>
      <c r="K3938" s="30">
        <v>0.91702228544333808</v>
      </c>
      <c r="L3938" s="158">
        <v>34</v>
      </c>
      <c r="M3938" s="30">
        <v>0.32400000000000001</v>
      </c>
      <c r="N3938" s="30">
        <v>5.04E-2</v>
      </c>
    </row>
    <row r="3939" spans="1:14">
      <c r="A3939" s="106" t="s">
        <v>158</v>
      </c>
      <c r="B3939" s="14" t="s">
        <v>77</v>
      </c>
      <c r="C3939" s="14" t="s">
        <v>64</v>
      </c>
      <c r="D3939" s="14">
        <v>2017</v>
      </c>
      <c r="E3939" s="14">
        <v>2017</v>
      </c>
      <c r="F3939" s="14" t="s">
        <v>265</v>
      </c>
      <c r="G3939" s="26">
        <v>97997</v>
      </c>
      <c r="H3939" s="26">
        <v>204946</v>
      </c>
      <c r="I3939" s="53">
        <v>550283</v>
      </c>
      <c r="J3939" s="30">
        <v>0.99522292993630568</v>
      </c>
      <c r="K3939" s="30">
        <v>0.99180327868852458</v>
      </c>
      <c r="L3939" s="158">
        <v>36</v>
      </c>
      <c r="M3939" s="30">
        <v>0.47199999999999998</v>
      </c>
      <c r="N3939" s="30">
        <v>4.2599999999999999E-2</v>
      </c>
    </row>
    <row r="3940" spans="1:14">
      <c r="A3940" s="106" t="s">
        <v>159</v>
      </c>
      <c r="B3940" s="14" t="s">
        <v>78</v>
      </c>
      <c r="C3940" s="14" t="s">
        <v>64</v>
      </c>
      <c r="D3940" s="14">
        <v>2017</v>
      </c>
      <c r="E3940" s="14">
        <v>2017</v>
      </c>
      <c r="F3940" s="14" t="s">
        <v>265</v>
      </c>
      <c r="G3940" s="26">
        <v>2180</v>
      </c>
      <c r="H3940" s="26">
        <v>4853</v>
      </c>
      <c r="I3940" s="53">
        <v>18696</v>
      </c>
      <c r="J3940" s="30">
        <v>1</v>
      </c>
      <c r="K3940" s="30">
        <v>0.97499999999999998</v>
      </c>
      <c r="L3940" s="158">
        <v>71</v>
      </c>
      <c r="M3940" s="30">
        <v>0.29599999999999999</v>
      </c>
      <c r="N3940" s="30">
        <v>6.3500000000000001E-2</v>
      </c>
    </row>
    <row r="3941" spans="1:14">
      <c r="A3941" s="106" t="s">
        <v>160</v>
      </c>
      <c r="B3941" s="14" t="s">
        <v>78</v>
      </c>
      <c r="C3941" s="14" t="s">
        <v>64</v>
      </c>
      <c r="D3941" s="14">
        <v>2017</v>
      </c>
      <c r="E3941" s="14">
        <v>2017</v>
      </c>
      <c r="F3941" s="14" t="s">
        <v>265</v>
      </c>
      <c r="G3941" s="26">
        <v>165609</v>
      </c>
      <c r="H3941" s="26">
        <v>361132</v>
      </c>
      <c r="I3941" s="53">
        <v>882182</v>
      </c>
      <c r="J3941" s="30">
        <v>0.99234507897934388</v>
      </c>
      <c r="K3941" s="30">
        <v>0.93748899454129253</v>
      </c>
      <c r="L3941" s="158">
        <v>44</v>
      </c>
      <c r="M3941" s="30">
        <v>0.27300000000000002</v>
      </c>
      <c r="N3941" s="30">
        <v>3.7100000000000001E-2</v>
      </c>
    </row>
    <row r="3942" spans="1:14">
      <c r="A3942" s="106" t="s">
        <v>161</v>
      </c>
      <c r="B3942" s="14" t="s">
        <v>77</v>
      </c>
      <c r="C3942" s="14" t="s">
        <v>64</v>
      </c>
      <c r="D3942" s="14">
        <v>2017</v>
      </c>
      <c r="E3942" s="14">
        <v>2017</v>
      </c>
      <c r="F3942" s="14" t="s">
        <v>265</v>
      </c>
      <c r="G3942" s="26">
        <v>132680</v>
      </c>
      <c r="H3942" s="26">
        <v>266491</v>
      </c>
      <c r="I3942" s="53">
        <v>893229</v>
      </c>
      <c r="J3942" s="30">
        <v>0.97605200136845705</v>
      </c>
      <c r="K3942" s="30">
        <v>0.95559425337396608</v>
      </c>
      <c r="L3942" s="158">
        <v>56</v>
      </c>
      <c r="M3942" s="30">
        <v>0.41099999999999998</v>
      </c>
      <c r="N3942" s="30">
        <v>2.81E-2</v>
      </c>
    </row>
    <row r="3943" spans="1:14">
      <c r="A3943" s="106" t="s">
        <v>162</v>
      </c>
      <c r="B3943" s="14" t="s">
        <v>77</v>
      </c>
      <c r="C3943" s="14" t="s">
        <v>64</v>
      </c>
      <c r="D3943" s="14">
        <v>2017</v>
      </c>
      <c r="E3943" s="14">
        <v>2017</v>
      </c>
      <c r="F3943" s="14" t="s">
        <v>265</v>
      </c>
      <c r="G3943" s="26">
        <v>34008</v>
      </c>
      <c r="H3943" s="26">
        <v>50759</v>
      </c>
      <c r="I3943" s="53">
        <v>221431</v>
      </c>
      <c r="J3943" s="30">
        <v>0.99129852744310576</v>
      </c>
      <c r="K3943" s="30">
        <v>0.89503546099290776</v>
      </c>
      <c r="L3943" s="158">
        <v>10</v>
      </c>
      <c r="M3943" s="30">
        <v>0.3</v>
      </c>
      <c r="N3943" s="30">
        <v>8.0199999999999994E-2</v>
      </c>
    </row>
    <row r="3944" spans="1:14">
      <c r="A3944" s="106" t="s">
        <v>163</v>
      </c>
      <c r="B3944" s="14" t="s">
        <v>78</v>
      </c>
      <c r="C3944" s="14" t="s">
        <v>64</v>
      </c>
      <c r="D3944" s="14">
        <v>2017</v>
      </c>
      <c r="E3944" s="14">
        <v>2017</v>
      </c>
      <c r="F3944" s="14" t="s">
        <v>265</v>
      </c>
      <c r="G3944" s="26">
        <v>48123</v>
      </c>
      <c r="H3944" s="26">
        <v>106642</v>
      </c>
      <c r="I3944" s="53">
        <v>298546</v>
      </c>
      <c r="J3944" s="30">
        <v>0.98465608465608467</v>
      </c>
      <c r="K3944" s="30">
        <v>0.90307328605200943</v>
      </c>
      <c r="L3944" s="158">
        <v>13</v>
      </c>
      <c r="M3944" s="30">
        <v>7.6999999999999999E-2</v>
      </c>
      <c r="N3944" s="30">
        <v>3.8600000000000002E-2</v>
      </c>
    </row>
    <row r="3945" spans="1:14">
      <c r="A3945" s="106" t="s">
        <v>164</v>
      </c>
      <c r="B3945" s="14" t="s">
        <v>77</v>
      </c>
      <c r="C3945" s="14" t="s">
        <v>64</v>
      </c>
      <c r="D3945" s="14">
        <v>2017</v>
      </c>
      <c r="E3945" s="14">
        <v>2017</v>
      </c>
      <c r="F3945" s="14" t="s">
        <v>265</v>
      </c>
      <c r="G3945" s="26">
        <v>9485</v>
      </c>
      <c r="H3945" s="26">
        <v>16840</v>
      </c>
      <c r="I3945" s="53">
        <v>60209</v>
      </c>
      <c r="J3945" s="30">
        <v>0.99162011173184361</v>
      </c>
      <c r="K3945" s="30">
        <v>0.97499999999999998</v>
      </c>
      <c r="L3945" s="158">
        <v>71</v>
      </c>
      <c r="M3945" s="30">
        <v>0.29599999999999999</v>
      </c>
      <c r="N3945" s="30">
        <v>6.3500000000000001E-2</v>
      </c>
    </row>
    <row r="3946" spans="1:14">
      <c r="A3946" s="106" t="s">
        <v>165</v>
      </c>
      <c r="B3946" s="14" t="s">
        <v>77</v>
      </c>
      <c r="C3946" s="14" t="s">
        <v>64</v>
      </c>
      <c r="D3946" s="14">
        <v>2017</v>
      </c>
      <c r="E3946" s="14">
        <v>2017</v>
      </c>
      <c r="F3946" s="14" t="s">
        <v>265</v>
      </c>
      <c r="G3946" s="26">
        <v>13512</v>
      </c>
      <c r="H3946" s="26">
        <v>25954</v>
      </c>
      <c r="I3946" s="53">
        <v>150607</v>
      </c>
      <c r="J3946" s="30">
        <v>0.97556008146639517</v>
      </c>
      <c r="K3946" s="30">
        <v>0.87687687687687688</v>
      </c>
      <c r="L3946" s="158">
        <v>71</v>
      </c>
      <c r="M3946" s="30">
        <v>0.29599999999999999</v>
      </c>
      <c r="N3946" s="30">
        <v>6.3500000000000001E-2</v>
      </c>
    </row>
    <row r="3947" spans="1:14">
      <c r="A3947" s="106" t="s">
        <v>166</v>
      </c>
      <c r="B3947" s="14" t="s">
        <v>77</v>
      </c>
      <c r="C3947" s="14" t="s">
        <v>64</v>
      </c>
      <c r="D3947" s="14">
        <v>2017</v>
      </c>
      <c r="E3947" s="14">
        <v>2017</v>
      </c>
      <c r="F3947" s="14" t="s">
        <v>265</v>
      </c>
      <c r="G3947" s="26">
        <v>18150</v>
      </c>
      <c r="H3947" s="26">
        <v>36933</v>
      </c>
      <c r="I3947" s="53">
        <v>147410</v>
      </c>
      <c r="J3947" s="30">
        <v>0.98153034300791553</v>
      </c>
      <c r="K3947" s="30">
        <v>0.91275167785234901</v>
      </c>
      <c r="L3947" s="158">
        <v>71</v>
      </c>
      <c r="M3947" s="30">
        <v>0.29599999999999999</v>
      </c>
      <c r="N3947" s="30">
        <v>6.3500000000000001E-2</v>
      </c>
    </row>
    <row r="3948" spans="1:14">
      <c r="A3948" s="106" t="s">
        <v>167</v>
      </c>
      <c r="B3948" s="14" t="s">
        <v>77</v>
      </c>
      <c r="C3948" s="14" t="s">
        <v>64</v>
      </c>
      <c r="D3948" s="14">
        <v>2017</v>
      </c>
      <c r="E3948" s="14">
        <v>2017</v>
      </c>
      <c r="F3948" s="14" t="s">
        <v>265</v>
      </c>
      <c r="G3948" s="26">
        <v>46568</v>
      </c>
      <c r="H3948" s="26">
        <v>90705</v>
      </c>
      <c r="I3948" s="53">
        <v>424250</v>
      </c>
      <c r="J3948" s="30">
        <v>0.9905977165883143</v>
      </c>
      <c r="K3948" s="30">
        <v>0.984375</v>
      </c>
      <c r="L3948" s="158">
        <v>15</v>
      </c>
      <c r="M3948" s="30">
        <v>0.4</v>
      </c>
      <c r="N3948" s="30">
        <v>4.2700000000000002E-2</v>
      </c>
    </row>
    <row r="3949" spans="1:14">
      <c r="A3949" s="106" t="s">
        <v>168</v>
      </c>
      <c r="B3949" s="14" t="s">
        <v>77</v>
      </c>
      <c r="C3949" s="14" t="s">
        <v>64</v>
      </c>
      <c r="D3949" s="14">
        <v>2017</v>
      </c>
      <c r="E3949" s="14">
        <v>2017</v>
      </c>
      <c r="F3949" s="14" t="s">
        <v>265</v>
      </c>
      <c r="G3949" s="26">
        <v>14252</v>
      </c>
      <c r="H3949" s="26">
        <v>25362</v>
      </c>
      <c r="I3949" s="53">
        <v>78054</v>
      </c>
      <c r="J3949" s="30">
        <v>0.97783251231527091</v>
      </c>
      <c r="K3949" s="30">
        <v>0.98378378378378384</v>
      </c>
      <c r="L3949" s="158">
        <v>71</v>
      </c>
      <c r="M3949" s="30">
        <v>0.29599999999999999</v>
      </c>
      <c r="N3949" s="30">
        <v>6.3500000000000001E-2</v>
      </c>
    </row>
    <row r="3950" spans="1:14">
      <c r="A3950" s="106" t="s">
        <v>169</v>
      </c>
      <c r="B3950" s="14" t="s">
        <v>78</v>
      </c>
      <c r="C3950" s="14" t="s">
        <v>64</v>
      </c>
      <c r="D3950" s="14">
        <v>2017</v>
      </c>
      <c r="E3950" s="14">
        <v>2017</v>
      </c>
      <c r="F3950" s="14" t="s">
        <v>265</v>
      </c>
      <c r="G3950" s="26">
        <v>12332</v>
      </c>
      <c r="H3950" s="26">
        <v>23135</v>
      </c>
      <c r="I3950" s="53">
        <v>63132</v>
      </c>
      <c r="J3950" s="30">
        <v>0.94138543516873885</v>
      </c>
      <c r="K3950" s="30">
        <v>0.95750000000000002</v>
      </c>
      <c r="L3950" s="158">
        <v>71</v>
      </c>
      <c r="M3950" s="30">
        <v>0.29599999999999999</v>
      </c>
      <c r="N3950" s="30">
        <v>6.3500000000000001E-2</v>
      </c>
    </row>
    <row r="3951" spans="1:14">
      <c r="A3951" s="106" t="s">
        <v>170</v>
      </c>
      <c r="B3951" s="14" t="s">
        <v>78</v>
      </c>
      <c r="C3951" s="14" t="s">
        <v>64</v>
      </c>
      <c r="D3951" s="14">
        <v>2017</v>
      </c>
      <c r="E3951" s="14">
        <v>2017</v>
      </c>
      <c r="F3951" s="14" t="s">
        <v>265</v>
      </c>
      <c r="G3951" s="26">
        <v>155</v>
      </c>
      <c r="H3951" s="26">
        <v>259</v>
      </c>
      <c r="I3951" s="53">
        <v>850</v>
      </c>
      <c r="J3951" s="30">
        <v>0.875</v>
      </c>
      <c r="K3951" s="30">
        <v>1</v>
      </c>
      <c r="L3951" s="158">
        <v>71</v>
      </c>
      <c r="M3951" s="30">
        <v>0.29599999999999999</v>
      </c>
      <c r="N3951" s="30">
        <v>6.3500000000000001E-2</v>
      </c>
    </row>
    <row r="3952" spans="1:14">
      <c r="A3952" s="106" t="s">
        <v>171</v>
      </c>
      <c r="B3952" s="14" t="s">
        <v>78</v>
      </c>
      <c r="C3952" s="14" t="s">
        <v>64</v>
      </c>
      <c r="D3952" s="14">
        <v>2017</v>
      </c>
      <c r="E3952" s="14">
        <v>2017</v>
      </c>
      <c r="F3952" s="14" t="s">
        <v>265</v>
      </c>
      <c r="G3952" s="26">
        <v>3071</v>
      </c>
      <c r="H3952" s="26">
        <v>6325</v>
      </c>
      <c r="I3952" s="53">
        <v>18931</v>
      </c>
      <c r="J3952" s="30">
        <v>0.99065420560747663</v>
      </c>
      <c r="K3952" s="30">
        <v>0.81927710843373491</v>
      </c>
      <c r="L3952" s="158">
        <v>71</v>
      </c>
      <c r="M3952" s="30">
        <v>0.29599999999999999</v>
      </c>
      <c r="N3952" s="30">
        <v>6.3500000000000001E-2</v>
      </c>
    </row>
    <row r="3953" spans="1:14">
      <c r="A3953" s="106" t="s">
        <v>172</v>
      </c>
      <c r="B3953" s="14" t="s">
        <v>77</v>
      </c>
      <c r="C3953" s="14" t="s">
        <v>64</v>
      </c>
      <c r="D3953" s="14">
        <v>2017</v>
      </c>
      <c r="E3953" s="14">
        <v>2017</v>
      </c>
      <c r="F3953" s="14" t="s">
        <v>265</v>
      </c>
      <c r="G3953" s="26">
        <v>20918</v>
      </c>
      <c r="H3953" s="26">
        <v>39289</v>
      </c>
      <c r="I3953" s="53">
        <v>120833</v>
      </c>
      <c r="J3953" s="30">
        <v>0.97564276048714482</v>
      </c>
      <c r="K3953" s="30">
        <v>0.97862232779097391</v>
      </c>
      <c r="L3953" s="158">
        <v>8</v>
      </c>
      <c r="M3953" s="30">
        <v>0.5</v>
      </c>
      <c r="N3953" s="30">
        <v>5.1999999999999998E-3</v>
      </c>
    </row>
    <row r="3954" spans="1:14">
      <c r="A3954" s="106" t="s">
        <v>173</v>
      </c>
      <c r="B3954" s="14" t="s">
        <v>77</v>
      </c>
      <c r="C3954" s="14" t="s">
        <v>64</v>
      </c>
      <c r="D3954" s="14">
        <v>2017</v>
      </c>
      <c r="E3954" s="14">
        <v>2017</v>
      </c>
      <c r="F3954" s="14" t="s">
        <v>265</v>
      </c>
      <c r="G3954" s="26">
        <v>17114</v>
      </c>
      <c r="H3954" s="26">
        <v>30018</v>
      </c>
      <c r="I3954" s="53">
        <v>127731</v>
      </c>
      <c r="J3954" s="30">
        <v>0.98815165876777256</v>
      </c>
      <c r="K3954" s="30">
        <v>0.92583732057416268</v>
      </c>
      <c r="L3954" s="158">
        <v>71</v>
      </c>
      <c r="M3954" s="30">
        <v>0.29599999999999999</v>
      </c>
      <c r="N3954" s="30">
        <v>6.3500000000000001E-2</v>
      </c>
    </row>
    <row r="3955" spans="1:14">
      <c r="A3955" s="106" t="s">
        <v>174</v>
      </c>
      <c r="B3955" s="14" t="s">
        <v>78</v>
      </c>
      <c r="C3955" s="14" t="s">
        <v>64</v>
      </c>
      <c r="D3955" s="14">
        <v>2017</v>
      </c>
      <c r="E3955" s="14">
        <v>2017</v>
      </c>
      <c r="F3955" s="14" t="s">
        <v>265</v>
      </c>
      <c r="G3955" s="26">
        <v>39640</v>
      </c>
      <c r="H3955" s="26">
        <v>82629</v>
      </c>
      <c r="I3955" s="53">
        <v>250094</v>
      </c>
      <c r="J3955" s="30">
        <v>0.98466780238500851</v>
      </c>
      <c r="K3955" s="30">
        <v>0.95292207792207795</v>
      </c>
      <c r="L3955" s="158">
        <v>9</v>
      </c>
      <c r="M3955" s="30">
        <v>0.55600000000000005</v>
      </c>
      <c r="N3955" s="30">
        <v>4.1700000000000001E-2</v>
      </c>
    </row>
    <row r="3956" spans="1:14">
      <c r="A3956" s="106" t="s">
        <v>175</v>
      </c>
      <c r="B3956" s="14" t="s">
        <v>78</v>
      </c>
      <c r="C3956" s="14" t="s">
        <v>64</v>
      </c>
      <c r="D3956" s="14">
        <v>2017</v>
      </c>
      <c r="E3956" s="14">
        <v>2017</v>
      </c>
      <c r="F3956" s="14" t="s">
        <v>265</v>
      </c>
      <c r="G3956" s="26">
        <v>5452</v>
      </c>
      <c r="H3956" s="26">
        <v>12529</v>
      </c>
      <c r="I3956" s="53">
        <v>42493</v>
      </c>
      <c r="J3956" s="30">
        <v>0.989247311827957</v>
      </c>
      <c r="K3956" s="30">
        <v>0.92253521126760563</v>
      </c>
      <c r="L3956" s="158">
        <v>71</v>
      </c>
      <c r="M3956" s="30">
        <v>0.29599999999999999</v>
      </c>
      <c r="N3956" s="30">
        <v>6.3500000000000001E-2</v>
      </c>
    </row>
    <row r="3957" spans="1:14">
      <c r="A3957" s="106" t="s">
        <v>176</v>
      </c>
      <c r="B3957" s="14" t="s">
        <v>78</v>
      </c>
      <c r="C3957" s="14" t="s">
        <v>64</v>
      </c>
      <c r="D3957" s="14">
        <v>2017</v>
      </c>
      <c r="E3957" s="14">
        <v>2017</v>
      </c>
      <c r="F3957" s="14" t="s">
        <v>265</v>
      </c>
      <c r="G3957" s="26">
        <v>4269</v>
      </c>
      <c r="H3957" s="26">
        <v>9227</v>
      </c>
      <c r="I3957" s="53">
        <v>27150</v>
      </c>
      <c r="J3957" s="30">
        <v>0.91836734693877553</v>
      </c>
      <c r="K3957" s="30">
        <v>0.95774647887323938</v>
      </c>
      <c r="L3957" s="158">
        <v>71</v>
      </c>
      <c r="M3957" s="30">
        <v>0.29599999999999999</v>
      </c>
      <c r="N3957" s="30">
        <v>6.3500000000000001E-2</v>
      </c>
    </row>
    <row r="3958" spans="1:14">
      <c r="A3958" s="106" t="s">
        <v>177</v>
      </c>
      <c r="B3958" s="14" t="s">
        <v>78</v>
      </c>
      <c r="C3958" s="14" t="s">
        <v>64</v>
      </c>
      <c r="D3958" s="14">
        <v>2017</v>
      </c>
      <c r="E3958" s="14">
        <v>2017</v>
      </c>
      <c r="F3958" s="14" t="s">
        <v>265</v>
      </c>
      <c r="G3958" s="26">
        <v>937</v>
      </c>
      <c r="H3958" s="26">
        <v>1645</v>
      </c>
      <c r="I3958" s="53">
        <v>4825</v>
      </c>
      <c r="J3958" s="30">
        <v>0.95</v>
      </c>
      <c r="K3958" s="30">
        <v>0.6071428571428571</v>
      </c>
      <c r="L3958" s="158">
        <v>71</v>
      </c>
      <c r="M3958" s="30">
        <v>0.29599999999999999</v>
      </c>
      <c r="N3958" s="30">
        <v>6.3500000000000001E-2</v>
      </c>
    </row>
    <row r="3959" spans="1:14">
      <c r="A3959" s="106" t="s">
        <v>178</v>
      </c>
      <c r="B3959" s="14" t="s">
        <v>77</v>
      </c>
      <c r="C3959" s="14" t="s">
        <v>64</v>
      </c>
      <c r="D3959" s="14">
        <v>2017</v>
      </c>
      <c r="E3959" s="14">
        <v>2017</v>
      </c>
      <c r="F3959" s="14" t="s">
        <v>265</v>
      </c>
      <c r="G3959" s="26">
        <v>50612</v>
      </c>
      <c r="H3959" s="26">
        <v>117038</v>
      </c>
      <c r="I3959" s="53">
        <v>257136</v>
      </c>
      <c r="J3959" s="30">
        <v>0.98274932614555255</v>
      </c>
      <c r="K3959" s="30">
        <v>0.92019950124688277</v>
      </c>
      <c r="L3959" s="158">
        <v>15</v>
      </c>
      <c r="M3959" s="30">
        <v>0.4</v>
      </c>
      <c r="N3959" s="30">
        <v>3.9600000000000003E-2</v>
      </c>
    </row>
    <row r="3960" spans="1:14">
      <c r="A3960" s="106" t="s">
        <v>179</v>
      </c>
      <c r="B3960" s="14" t="s">
        <v>78</v>
      </c>
      <c r="C3960" s="14" t="s">
        <v>64</v>
      </c>
      <c r="D3960" s="14">
        <v>2017</v>
      </c>
      <c r="E3960" s="14">
        <v>2017</v>
      </c>
      <c r="F3960" s="14" t="s">
        <v>265</v>
      </c>
      <c r="G3960" s="26">
        <v>2807</v>
      </c>
      <c r="H3960" s="26">
        <v>4955</v>
      </c>
      <c r="I3960" s="53">
        <v>14032</v>
      </c>
      <c r="J3960" s="30">
        <v>0.97478991596638653</v>
      </c>
      <c r="K3960" s="30">
        <v>0.96</v>
      </c>
      <c r="L3960" s="158">
        <v>71</v>
      </c>
      <c r="M3960" s="30">
        <v>0.29599999999999999</v>
      </c>
      <c r="N3960" s="30">
        <v>6.3500000000000001E-2</v>
      </c>
    </row>
    <row r="3961" spans="1:14">
      <c r="A3961" s="106" t="s">
        <v>180</v>
      </c>
      <c r="B3961" s="14" t="s">
        <v>77</v>
      </c>
      <c r="C3961" s="14" t="s">
        <v>64</v>
      </c>
      <c r="D3961" s="14">
        <v>2017</v>
      </c>
      <c r="E3961" s="14">
        <v>2017</v>
      </c>
      <c r="F3961" s="14" t="s">
        <v>265</v>
      </c>
      <c r="G3961" s="26">
        <v>34711</v>
      </c>
      <c r="H3961" s="26">
        <v>68560</v>
      </c>
      <c r="I3961" s="53">
        <v>233360</v>
      </c>
      <c r="J3961" s="30">
        <v>0.98535394629780304</v>
      </c>
      <c r="K3961" s="30">
        <v>0.96626506024096381</v>
      </c>
      <c r="L3961" s="158">
        <v>14</v>
      </c>
      <c r="M3961" s="30">
        <v>0.14299999999999999</v>
      </c>
      <c r="N3961" s="30">
        <v>7.3099999999999998E-2</v>
      </c>
    </row>
    <row r="3962" spans="1:14">
      <c r="A3962" s="106" t="s">
        <v>181</v>
      </c>
      <c r="B3962" s="14" t="s">
        <v>77</v>
      </c>
      <c r="C3962" s="14" t="s">
        <v>64</v>
      </c>
      <c r="D3962" s="14">
        <v>2017</v>
      </c>
      <c r="E3962" s="14">
        <v>2017</v>
      </c>
      <c r="F3962" s="14" t="s">
        <v>265</v>
      </c>
      <c r="G3962" s="26">
        <v>9887</v>
      </c>
      <c r="H3962" s="26">
        <v>18924</v>
      </c>
      <c r="I3962" s="53">
        <v>58987</v>
      </c>
      <c r="J3962" s="30">
        <v>0.94871794871794868</v>
      </c>
      <c r="K3962" s="30">
        <v>0.9375</v>
      </c>
      <c r="L3962" s="158">
        <v>71</v>
      </c>
      <c r="M3962" s="30">
        <v>0.29599999999999999</v>
      </c>
      <c r="N3962" s="30">
        <v>6.3500000000000001E-2</v>
      </c>
    </row>
    <row r="3963" spans="1:14">
      <c r="A3963" s="106" t="s">
        <v>182</v>
      </c>
      <c r="B3963" s="14" t="s">
        <v>78</v>
      </c>
      <c r="C3963" s="14" t="s">
        <v>64</v>
      </c>
      <c r="D3963" s="14">
        <v>2017</v>
      </c>
      <c r="E3963" s="14">
        <v>2017</v>
      </c>
      <c r="F3963" s="14" t="s">
        <v>265</v>
      </c>
      <c r="G3963" s="26">
        <v>6031</v>
      </c>
      <c r="H3963" s="26">
        <v>13075</v>
      </c>
      <c r="I3963" s="53">
        <v>32771</v>
      </c>
      <c r="J3963" s="30">
        <v>0.99691358024691357</v>
      </c>
      <c r="K3963" s="30">
        <v>0.9543568464730291</v>
      </c>
      <c r="L3963" s="158">
        <v>71</v>
      </c>
      <c r="M3963" s="30">
        <v>0.29599999999999999</v>
      </c>
      <c r="N3963" s="30">
        <v>6.3500000000000001E-2</v>
      </c>
    </row>
    <row r="3964" spans="1:14">
      <c r="A3964" s="56" t="s">
        <v>183</v>
      </c>
      <c r="B3964" s="14" t="s">
        <v>66</v>
      </c>
      <c r="C3964" s="14" t="s">
        <v>197</v>
      </c>
      <c r="D3964" s="14">
        <v>2017</v>
      </c>
      <c r="E3964" s="14">
        <v>2017</v>
      </c>
      <c r="F3964" s="14" t="s">
        <v>265</v>
      </c>
      <c r="G3964" s="26">
        <v>1985432</v>
      </c>
      <c r="H3964" s="26">
        <v>4085865</v>
      </c>
      <c r="I3964" s="157">
        <v>13358391</v>
      </c>
      <c r="J3964" s="30">
        <v>0.9841604048755046</v>
      </c>
      <c r="K3964" s="30">
        <v>0.93026985001133822</v>
      </c>
      <c r="L3964" s="158">
        <v>763</v>
      </c>
      <c r="M3964" s="30">
        <v>0.39100000000000001</v>
      </c>
      <c r="N3964" s="30">
        <v>6.1899999999999997E-2</v>
      </c>
    </row>
    <row r="3965" spans="1:14">
      <c r="A3965" s="56" t="s">
        <v>184</v>
      </c>
      <c r="B3965" s="14" t="s">
        <v>77</v>
      </c>
      <c r="C3965" s="14" t="s">
        <v>197</v>
      </c>
      <c r="D3965" s="14">
        <v>2017</v>
      </c>
      <c r="E3965" s="14">
        <v>2017</v>
      </c>
      <c r="F3965" s="14" t="s">
        <v>265</v>
      </c>
      <c r="G3965" s="26">
        <v>57382</v>
      </c>
      <c r="H3965" s="26">
        <v>107694</v>
      </c>
      <c r="I3965" s="157">
        <v>436371</v>
      </c>
      <c r="J3965" s="30" t="s">
        <v>66</v>
      </c>
      <c r="K3965" s="30" t="s">
        <v>66</v>
      </c>
      <c r="L3965" s="158">
        <v>20</v>
      </c>
      <c r="M3965" s="30">
        <v>0.45</v>
      </c>
      <c r="N3965" s="30">
        <v>3.1E-2</v>
      </c>
    </row>
    <row r="3966" spans="1:14">
      <c r="A3966" s="56" t="s">
        <v>185</v>
      </c>
      <c r="B3966" s="14" t="s">
        <v>78</v>
      </c>
      <c r="C3966" s="14" t="s">
        <v>197</v>
      </c>
      <c r="D3966" s="14">
        <v>2017</v>
      </c>
      <c r="E3966" s="14">
        <v>2017</v>
      </c>
      <c r="F3966" s="14" t="s">
        <v>265</v>
      </c>
      <c r="G3966" s="26">
        <v>78</v>
      </c>
      <c r="H3966" s="26">
        <v>137</v>
      </c>
      <c r="I3966" s="157">
        <v>323</v>
      </c>
      <c r="J3966" s="30">
        <v>1</v>
      </c>
      <c r="K3966" s="30">
        <v>0.66666666666666663</v>
      </c>
      <c r="L3966" s="158">
        <v>78</v>
      </c>
      <c r="M3966" s="30">
        <v>0.29499999999999998</v>
      </c>
      <c r="N3966" s="30">
        <v>8.4599999999999995E-2</v>
      </c>
    </row>
    <row r="3967" spans="1:14">
      <c r="A3967" s="56" t="s">
        <v>186</v>
      </c>
      <c r="B3967" s="14" t="s">
        <v>78</v>
      </c>
      <c r="C3967" s="14" t="s">
        <v>197</v>
      </c>
      <c r="D3967" s="14">
        <v>2017</v>
      </c>
      <c r="E3967" s="14">
        <v>2017</v>
      </c>
      <c r="F3967" s="14" t="s">
        <v>265</v>
      </c>
      <c r="G3967" s="26">
        <v>1666</v>
      </c>
      <c r="H3967" s="26">
        <v>3013</v>
      </c>
      <c r="I3967" s="157">
        <v>8206</v>
      </c>
      <c r="J3967" s="30">
        <v>1</v>
      </c>
      <c r="K3967" s="30">
        <v>0.98181818181818181</v>
      </c>
      <c r="L3967" s="158">
        <v>78</v>
      </c>
      <c r="M3967" s="30">
        <v>0.29499999999999998</v>
      </c>
      <c r="N3967" s="30">
        <v>8.4599999999999995E-2</v>
      </c>
    </row>
    <row r="3968" spans="1:14">
      <c r="A3968" s="56" t="s">
        <v>187</v>
      </c>
      <c r="B3968" s="14" t="s">
        <v>78</v>
      </c>
      <c r="C3968" s="14" t="s">
        <v>197</v>
      </c>
      <c r="D3968" s="14">
        <v>2017</v>
      </c>
      <c r="E3968" s="14">
        <v>2017</v>
      </c>
      <c r="F3968" s="14" t="s">
        <v>265</v>
      </c>
      <c r="G3968" s="26">
        <v>16544</v>
      </c>
      <c r="H3968" s="26">
        <v>30858</v>
      </c>
      <c r="I3968" s="157">
        <v>83016</v>
      </c>
      <c r="J3968" s="30">
        <v>0.9255079006772009</v>
      </c>
      <c r="K3968" s="30">
        <v>0.91233283803863297</v>
      </c>
      <c r="L3968" s="158">
        <v>78</v>
      </c>
      <c r="M3968" s="30">
        <v>0.29499999999999998</v>
      </c>
      <c r="N3968" s="30">
        <v>8.4599999999999995E-2</v>
      </c>
    </row>
    <row r="3969" spans="1:14">
      <c r="A3969" s="56" t="s">
        <v>188</v>
      </c>
      <c r="B3969" s="14" t="s">
        <v>78</v>
      </c>
      <c r="C3969" s="14" t="s">
        <v>197</v>
      </c>
      <c r="D3969" s="14">
        <v>2017</v>
      </c>
      <c r="E3969" s="14">
        <v>2017</v>
      </c>
      <c r="F3969" s="14" t="s">
        <v>265</v>
      </c>
      <c r="G3969" s="26">
        <v>2804</v>
      </c>
      <c r="H3969" s="26">
        <v>5025</v>
      </c>
      <c r="I3969" s="157">
        <v>12006</v>
      </c>
      <c r="J3969" s="30">
        <v>0.99411764705882355</v>
      </c>
      <c r="K3969" s="30">
        <v>0.89380530973451322</v>
      </c>
      <c r="L3969" s="158">
        <v>78</v>
      </c>
      <c r="M3969" s="30">
        <v>0.29499999999999998</v>
      </c>
      <c r="N3969" s="30">
        <v>8.4599999999999995E-2</v>
      </c>
    </row>
    <row r="3970" spans="1:14">
      <c r="A3970" s="56" t="s">
        <v>189</v>
      </c>
      <c r="B3970" s="14" t="s">
        <v>78</v>
      </c>
      <c r="C3970" s="14" t="s">
        <v>197</v>
      </c>
      <c r="D3970" s="14">
        <v>2017</v>
      </c>
      <c r="E3970" s="14">
        <v>2017</v>
      </c>
      <c r="F3970" s="14" t="s">
        <v>265</v>
      </c>
      <c r="G3970" s="26">
        <v>692</v>
      </c>
      <c r="H3970" s="26">
        <v>1535</v>
      </c>
      <c r="I3970" s="157">
        <v>9091</v>
      </c>
      <c r="J3970" s="30">
        <v>1</v>
      </c>
      <c r="K3970" s="30">
        <v>1</v>
      </c>
      <c r="L3970" s="158">
        <v>78</v>
      </c>
      <c r="M3970" s="30">
        <v>0.29499999999999998</v>
      </c>
      <c r="N3970" s="30">
        <v>8.4599999999999995E-2</v>
      </c>
    </row>
    <row r="3971" spans="1:14">
      <c r="A3971" s="56" t="s">
        <v>190</v>
      </c>
      <c r="B3971" s="14" t="s">
        <v>77</v>
      </c>
      <c r="C3971" s="14" t="s">
        <v>197</v>
      </c>
      <c r="D3971" s="14">
        <v>2017</v>
      </c>
      <c r="E3971" s="14">
        <v>2017</v>
      </c>
      <c r="F3971" s="14" t="s">
        <v>265</v>
      </c>
      <c r="G3971" s="26">
        <v>31606</v>
      </c>
      <c r="H3971" s="26">
        <v>62627</v>
      </c>
      <c r="I3971" s="157">
        <v>272689</v>
      </c>
      <c r="J3971" s="30">
        <v>0.97023809523809523</v>
      </c>
      <c r="K3971" s="30">
        <v>0.9836601307189542</v>
      </c>
      <c r="L3971" s="158">
        <v>12</v>
      </c>
      <c r="M3971" s="30">
        <v>0.33300000000000002</v>
      </c>
      <c r="N3971" s="30">
        <v>5.8500000000000003E-2</v>
      </c>
    </row>
    <row r="3972" spans="1:14">
      <c r="A3972" s="56" t="s">
        <v>191</v>
      </c>
      <c r="B3972" s="14" t="s">
        <v>78</v>
      </c>
      <c r="C3972" s="14" t="s">
        <v>197</v>
      </c>
      <c r="D3972" s="14">
        <v>2017</v>
      </c>
      <c r="E3972" s="14">
        <v>2017</v>
      </c>
      <c r="F3972" s="14" t="s">
        <v>265</v>
      </c>
      <c r="G3972" s="26">
        <v>2577</v>
      </c>
      <c r="H3972" s="26">
        <v>5280</v>
      </c>
      <c r="I3972" s="157">
        <v>12065</v>
      </c>
      <c r="J3972" s="30">
        <v>1</v>
      </c>
      <c r="K3972" s="30">
        <v>0.97701149425287359</v>
      </c>
      <c r="L3972" s="158">
        <v>78</v>
      </c>
      <c r="M3972" s="30">
        <v>0.29499999999999998</v>
      </c>
      <c r="N3972" s="30">
        <v>8.4599999999999995E-2</v>
      </c>
    </row>
    <row r="3973" spans="1:14">
      <c r="A3973" s="56" t="s">
        <v>192</v>
      </c>
      <c r="B3973" s="14" t="s">
        <v>78</v>
      </c>
      <c r="C3973" s="14" t="s">
        <v>197</v>
      </c>
      <c r="D3973" s="14">
        <v>2017</v>
      </c>
      <c r="E3973" s="14">
        <v>2017</v>
      </c>
      <c r="F3973" s="14" t="s">
        <v>265</v>
      </c>
      <c r="G3973" s="26">
        <v>6789</v>
      </c>
      <c r="H3973" s="26">
        <v>11966</v>
      </c>
      <c r="I3973" s="157">
        <v>38644</v>
      </c>
      <c r="J3973" s="30">
        <v>0.99704142011834318</v>
      </c>
      <c r="K3973" s="30">
        <v>0.98367346938775513</v>
      </c>
      <c r="L3973" s="158">
        <v>78</v>
      </c>
      <c r="M3973" s="30">
        <v>0.29499999999999998</v>
      </c>
      <c r="N3973" s="30">
        <v>8.4599999999999995E-2</v>
      </c>
    </row>
    <row r="3974" spans="1:14">
      <c r="A3974" s="106" t="s">
        <v>134</v>
      </c>
      <c r="B3974" s="14" t="s">
        <v>77</v>
      </c>
      <c r="C3974" s="14" t="s">
        <v>197</v>
      </c>
      <c r="D3974" s="14">
        <v>2017</v>
      </c>
      <c r="E3974" s="14">
        <v>2017</v>
      </c>
      <c r="F3974" s="14" t="s">
        <v>265</v>
      </c>
      <c r="G3974" s="26">
        <v>88665</v>
      </c>
      <c r="H3974" s="26">
        <v>204992</v>
      </c>
      <c r="I3974" s="157">
        <v>491423</v>
      </c>
      <c r="J3974" s="30">
        <v>0.95606750602732382</v>
      </c>
      <c r="K3974" s="30">
        <v>0.94394971189104238</v>
      </c>
      <c r="L3974" s="158">
        <v>36</v>
      </c>
      <c r="M3974" s="30">
        <v>0.41699999999999998</v>
      </c>
      <c r="N3974" s="30">
        <v>3.9E-2</v>
      </c>
    </row>
    <row r="3975" spans="1:14">
      <c r="A3975" s="106" t="s">
        <v>135</v>
      </c>
      <c r="B3975" s="14" t="s">
        <v>78</v>
      </c>
      <c r="C3975" s="14" t="s">
        <v>197</v>
      </c>
      <c r="D3975" s="14">
        <v>2017</v>
      </c>
      <c r="E3975" s="14">
        <v>2017</v>
      </c>
      <c r="F3975" s="14" t="s">
        <v>265</v>
      </c>
      <c r="G3975" s="26">
        <v>1508</v>
      </c>
      <c r="H3975" s="26">
        <v>3456</v>
      </c>
      <c r="I3975" s="157">
        <v>12485</v>
      </c>
      <c r="J3975" s="30">
        <v>0.97727272727272729</v>
      </c>
      <c r="K3975" s="30">
        <v>1</v>
      </c>
      <c r="L3975" s="158">
        <v>78</v>
      </c>
      <c r="M3975" s="30">
        <v>0.29499999999999998</v>
      </c>
      <c r="N3975" s="30">
        <v>8.4599999999999995E-2</v>
      </c>
    </row>
    <row r="3976" spans="1:14">
      <c r="A3976" s="106" t="s">
        <v>136</v>
      </c>
      <c r="B3976" s="14" t="s">
        <v>78</v>
      </c>
      <c r="C3976" s="14" t="s">
        <v>197</v>
      </c>
      <c r="D3976" s="14">
        <v>2017</v>
      </c>
      <c r="E3976" s="14">
        <v>2017</v>
      </c>
      <c r="F3976" s="14" t="s">
        <v>265</v>
      </c>
      <c r="G3976" s="26">
        <v>11991</v>
      </c>
      <c r="H3976" s="26">
        <v>20350</v>
      </c>
      <c r="I3976" s="157">
        <v>55331</v>
      </c>
      <c r="J3976" s="30">
        <v>0.99380804953560375</v>
      </c>
      <c r="K3976" s="30">
        <v>0.97876857749469215</v>
      </c>
      <c r="L3976" s="158">
        <v>78</v>
      </c>
      <c r="M3976" s="30">
        <v>0.29499999999999998</v>
      </c>
      <c r="N3976" s="30">
        <v>8.4599999999999995E-2</v>
      </c>
    </row>
    <row r="3977" spans="1:14">
      <c r="A3977" s="106" t="s">
        <v>137</v>
      </c>
      <c r="B3977" s="14" t="s">
        <v>78</v>
      </c>
      <c r="C3977" s="14" t="s">
        <v>197</v>
      </c>
      <c r="D3977" s="14">
        <v>2017</v>
      </c>
      <c r="E3977" s="14">
        <v>2017</v>
      </c>
      <c r="F3977" s="14" t="s">
        <v>265</v>
      </c>
      <c r="G3977" s="26">
        <v>17388</v>
      </c>
      <c r="H3977" s="26">
        <v>42136</v>
      </c>
      <c r="I3977" s="157">
        <v>95204</v>
      </c>
      <c r="J3977" s="30">
        <v>0.97406639004149376</v>
      </c>
      <c r="K3977" s="30">
        <v>0.92482517482517479</v>
      </c>
      <c r="L3977" s="158">
        <v>78</v>
      </c>
      <c r="M3977" s="30">
        <v>0.29499999999999998</v>
      </c>
      <c r="N3977" s="30">
        <v>8.4599999999999995E-2</v>
      </c>
    </row>
    <row r="3978" spans="1:14">
      <c r="A3978" s="106" t="s">
        <v>138</v>
      </c>
      <c r="B3978" s="14" t="s">
        <v>78</v>
      </c>
      <c r="C3978" s="14" t="s">
        <v>197</v>
      </c>
      <c r="D3978" s="14">
        <v>2017</v>
      </c>
      <c r="E3978" s="14">
        <v>2017</v>
      </c>
      <c r="F3978" s="14" t="s">
        <v>265</v>
      </c>
      <c r="G3978" s="26">
        <v>1017</v>
      </c>
      <c r="H3978" s="26">
        <v>1965</v>
      </c>
      <c r="I3978" s="157">
        <v>5525</v>
      </c>
      <c r="J3978" s="30">
        <v>1</v>
      </c>
      <c r="K3978" s="30">
        <v>0.83870967741935487</v>
      </c>
      <c r="L3978" s="158">
        <v>78</v>
      </c>
      <c r="M3978" s="30">
        <v>0.29499999999999998</v>
      </c>
      <c r="N3978" s="30">
        <v>8.4599999999999995E-2</v>
      </c>
    </row>
    <row r="3979" spans="1:14">
      <c r="A3979" s="106" t="s">
        <v>139</v>
      </c>
      <c r="B3979" s="14" t="s">
        <v>78</v>
      </c>
      <c r="C3979" s="14" t="s">
        <v>197</v>
      </c>
      <c r="D3979" s="14">
        <v>2017</v>
      </c>
      <c r="E3979" s="14">
        <v>2017</v>
      </c>
      <c r="F3979" s="14" t="s">
        <v>265</v>
      </c>
      <c r="G3979" s="26">
        <v>68941</v>
      </c>
      <c r="H3979" s="26">
        <v>159703</v>
      </c>
      <c r="I3979" s="157">
        <v>412800</v>
      </c>
      <c r="J3979" s="30">
        <v>0.99063962558502339</v>
      </c>
      <c r="K3979" s="30">
        <v>0.92347548824232761</v>
      </c>
      <c r="L3979" s="158">
        <v>18</v>
      </c>
      <c r="M3979" s="30">
        <v>0.222</v>
      </c>
      <c r="N3979" s="30">
        <v>1.6199999999999999E-2</v>
      </c>
    </row>
    <row r="3980" spans="1:14">
      <c r="A3980" s="106" t="s">
        <v>140</v>
      </c>
      <c r="B3980" s="14" t="s">
        <v>78</v>
      </c>
      <c r="C3980" s="14" t="s">
        <v>197</v>
      </c>
      <c r="D3980" s="14">
        <v>2017</v>
      </c>
      <c r="E3980" s="14">
        <v>2017</v>
      </c>
      <c r="F3980" s="14" t="s">
        <v>265</v>
      </c>
      <c r="G3980" s="26">
        <v>10585</v>
      </c>
      <c r="H3980" s="26">
        <v>23866</v>
      </c>
      <c r="I3980" s="157">
        <v>57834</v>
      </c>
      <c r="J3980" s="30">
        <v>0.99672131147540988</v>
      </c>
      <c r="K3980" s="30">
        <v>0.91911764705882348</v>
      </c>
      <c r="L3980" s="158">
        <v>78</v>
      </c>
      <c r="M3980" s="30">
        <v>0.29499999999999998</v>
      </c>
      <c r="N3980" s="30">
        <v>8.4599999999999995E-2</v>
      </c>
    </row>
    <row r="3981" spans="1:14">
      <c r="A3981" s="106" t="s">
        <v>141</v>
      </c>
      <c r="B3981" s="14" t="s">
        <v>78</v>
      </c>
      <c r="C3981" s="14" t="s">
        <v>197</v>
      </c>
      <c r="D3981" s="14">
        <v>2017</v>
      </c>
      <c r="E3981" s="14">
        <v>2017</v>
      </c>
      <c r="F3981" s="14" t="s">
        <v>265</v>
      </c>
      <c r="G3981" s="26">
        <v>6406</v>
      </c>
      <c r="H3981" s="26">
        <v>11846</v>
      </c>
      <c r="I3981" s="157">
        <v>32831</v>
      </c>
      <c r="J3981" s="30">
        <v>0.930379746835443</v>
      </c>
      <c r="K3981" s="30">
        <v>0.87735849056603776</v>
      </c>
      <c r="L3981" s="158">
        <v>78</v>
      </c>
      <c r="M3981" s="30">
        <v>0.29499999999999998</v>
      </c>
      <c r="N3981" s="30">
        <v>8.4599999999999995E-2</v>
      </c>
    </row>
    <row r="3982" spans="1:14">
      <c r="A3982" s="106" t="s">
        <v>142</v>
      </c>
      <c r="B3982" s="14" t="s">
        <v>78</v>
      </c>
      <c r="C3982" s="14" t="s">
        <v>197</v>
      </c>
      <c r="D3982" s="14">
        <v>2017</v>
      </c>
      <c r="E3982" s="14">
        <v>2017</v>
      </c>
      <c r="F3982" s="14" t="s">
        <v>265</v>
      </c>
      <c r="G3982" s="26">
        <v>1582</v>
      </c>
      <c r="H3982" s="26">
        <v>3172</v>
      </c>
      <c r="I3982" s="157">
        <v>8079</v>
      </c>
      <c r="J3982" s="30">
        <v>0.96052631578947367</v>
      </c>
      <c r="K3982" s="30">
        <v>0.8936170212765957</v>
      </c>
      <c r="L3982" s="158">
        <v>78</v>
      </c>
      <c r="M3982" s="30">
        <v>0.29499999999999998</v>
      </c>
      <c r="N3982" s="30">
        <v>8.4599999999999995E-2</v>
      </c>
    </row>
    <row r="3983" spans="1:14">
      <c r="A3983" s="106" t="s">
        <v>143</v>
      </c>
      <c r="B3983" s="14" t="s">
        <v>79</v>
      </c>
      <c r="C3983" s="14" t="s">
        <v>197</v>
      </c>
      <c r="D3983" s="14">
        <v>2017</v>
      </c>
      <c r="E3983" s="14">
        <v>2017</v>
      </c>
      <c r="F3983" s="14" t="s">
        <v>265</v>
      </c>
      <c r="G3983" s="26">
        <v>539658</v>
      </c>
      <c r="H3983" s="26">
        <v>1080306</v>
      </c>
      <c r="I3983" s="157">
        <v>3965474</v>
      </c>
      <c r="J3983" s="30">
        <v>0.9858131880603791</v>
      </c>
      <c r="K3983" s="30">
        <v>0.90716078798451261</v>
      </c>
      <c r="L3983" s="158">
        <v>280</v>
      </c>
      <c r="M3983" s="30">
        <v>0.47099999999999997</v>
      </c>
      <c r="N3983" s="30">
        <v>0.10100000000000001</v>
      </c>
    </row>
    <row r="3984" spans="1:14">
      <c r="A3984" s="106" t="s">
        <v>144</v>
      </c>
      <c r="B3984" s="14" t="s">
        <v>78</v>
      </c>
      <c r="C3984" s="14" t="s">
        <v>197</v>
      </c>
      <c r="D3984" s="14">
        <v>2017</v>
      </c>
      <c r="E3984" s="14">
        <v>2017</v>
      </c>
      <c r="F3984" s="14" t="s">
        <v>265</v>
      </c>
      <c r="G3984" s="26">
        <v>11312</v>
      </c>
      <c r="H3984" s="26">
        <v>27445</v>
      </c>
      <c r="I3984" s="157">
        <v>70413</v>
      </c>
      <c r="J3984" s="30">
        <v>0.99285714285714288</v>
      </c>
      <c r="K3984" s="30">
        <v>0.99186991869918695</v>
      </c>
      <c r="L3984" s="158">
        <v>78</v>
      </c>
      <c r="M3984" s="30">
        <v>0.29499999999999998</v>
      </c>
      <c r="N3984" s="30">
        <v>8.4599999999999995E-2</v>
      </c>
    </row>
    <row r="3985" spans="1:14">
      <c r="A3985" s="106" t="s">
        <v>145</v>
      </c>
      <c r="B3985" s="14" t="s">
        <v>78</v>
      </c>
      <c r="C3985" s="14" t="s">
        <v>197</v>
      </c>
      <c r="D3985" s="14">
        <v>2017</v>
      </c>
      <c r="E3985" s="14">
        <v>2017</v>
      </c>
      <c r="F3985" s="14" t="s">
        <v>265</v>
      </c>
      <c r="G3985" s="26">
        <v>5972</v>
      </c>
      <c r="H3985" s="26">
        <v>9897</v>
      </c>
      <c r="I3985" s="157">
        <v>47502</v>
      </c>
      <c r="J3985" s="30">
        <v>0.98422712933753942</v>
      </c>
      <c r="K3985" s="30">
        <v>0.93896713615023475</v>
      </c>
      <c r="L3985" s="158">
        <v>78</v>
      </c>
      <c r="M3985" s="30">
        <v>0.29499999999999998</v>
      </c>
      <c r="N3985" s="30">
        <v>8.4599999999999995E-2</v>
      </c>
    </row>
    <row r="3986" spans="1:14">
      <c r="A3986" s="106" t="s">
        <v>146</v>
      </c>
      <c r="B3986" s="14" t="s">
        <v>78</v>
      </c>
      <c r="C3986" s="14" t="s">
        <v>197</v>
      </c>
      <c r="D3986" s="14">
        <v>2017</v>
      </c>
      <c r="E3986" s="14">
        <v>2017</v>
      </c>
      <c r="F3986" s="14" t="s">
        <v>265</v>
      </c>
      <c r="G3986" s="26">
        <v>1023</v>
      </c>
      <c r="H3986" s="26">
        <v>1856</v>
      </c>
      <c r="I3986" s="157">
        <v>4846</v>
      </c>
      <c r="J3986" s="30">
        <v>0.89583333333333337</v>
      </c>
      <c r="K3986" s="30">
        <v>0.66666666666666663</v>
      </c>
      <c r="L3986" s="158">
        <v>78</v>
      </c>
      <c r="M3986" s="30">
        <v>0.29499999999999998</v>
      </c>
      <c r="N3986" s="30">
        <v>8.4599999999999995E-2</v>
      </c>
    </row>
    <row r="3987" spans="1:14">
      <c r="A3987" s="106" t="s">
        <v>147</v>
      </c>
      <c r="B3987" s="14" t="s">
        <v>78</v>
      </c>
      <c r="C3987" s="14" t="s">
        <v>197</v>
      </c>
      <c r="D3987" s="14">
        <v>2017</v>
      </c>
      <c r="E3987" s="14">
        <v>2017</v>
      </c>
      <c r="F3987" s="14" t="s">
        <v>265</v>
      </c>
      <c r="G3987" s="26">
        <v>6320</v>
      </c>
      <c r="H3987" s="26">
        <v>11736</v>
      </c>
      <c r="I3987" s="157">
        <v>41688</v>
      </c>
      <c r="J3987" s="30">
        <v>0.93603411513859269</v>
      </c>
      <c r="K3987" s="30">
        <v>0.94551282051282048</v>
      </c>
      <c r="L3987" s="158">
        <v>78</v>
      </c>
      <c r="M3987" s="30">
        <v>0.29499999999999998</v>
      </c>
      <c r="N3987" s="30">
        <v>8.4599999999999995E-2</v>
      </c>
    </row>
    <row r="3988" spans="1:14">
      <c r="A3988" s="106" t="s">
        <v>148</v>
      </c>
      <c r="B3988" s="14" t="s">
        <v>78</v>
      </c>
      <c r="C3988" s="14" t="s">
        <v>197</v>
      </c>
      <c r="D3988" s="14">
        <v>2017</v>
      </c>
      <c r="E3988" s="14">
        <v>2017</v>
      </c>
      <c r="F3988" s="14" t="s">
        <v>265</v>
      </c>
      <c r="G3988" s="26">
        <v>23439</v>
      </c>
      <c r="H3988" s="26">
        <v>54193</v>
      </c>
      <c r="I3988" s="157">
        <v>139557</v>
      </c>
      <c r="J3988" s="30">
        <v>0.97633744855967075</v>
      </c>
      <c r="K3988" s="30">
        <v>0.95594713656387664</v>
      </c>
      <c r="L3988" s="158">
        <v>6</v>
      </c>
      <c r="M3988" s="30">
        <v>0</v>
      </c>
      <c r="N3988" s="30">
        <v>3.2300000000000002E-2</v>
      </c>
    </row>
    <row r="3989" spans="1:14">
      <c r="A3989" s="106" t="s">
        <v>149</v>
      </c>
      <c r="B3989" s="14" t="s">
        <v>78</v>
      </c>
      <c r="C3989" s="14" t="s">
        <v>197</v>
      </c>
      <c r="D3989" s="14">
        <v>2017</v>
      </c>
      <c r="E3989" s="14">
        <v>2017</v>
      </c>
      <c r="F3989" s="14" t="s">
        <v>265</v>
      </c>
      <c r="G3989" s="26">
        <v>544</v>
      </c>
      <c r="H3989" s="26">
        <v>1172</v>
      </c>
      <c r="I3989" s="157">
        <v>3195</v>
      </c>
      <c r="J3989" s="30">
        <v>0.91891891891891886</v>
      </c>
      <c r="K3989" s="30">
        <v>0.96</v>
      </c>
      <c r="L3989" s="158">
        <v>78</v>
      </c>
      <c r="M3989" s="30">
        <v>0.29499999999999998</v>
      </c>
      <c r="N3989" s="30">
        <v>8.4599999999999995E-2</v>
      </c>
    </row>
    <row r="3990" spans="1:14">
      <c r="A3990" s="106" t="s">
        <v>150</v>
      </c>
      <c r="B3990" s="14" t="s">
        <v>78</v>
      </c>
      <c r="C3990" s="14" t="s">
        <v>197</v>
      </c>
      <c r="D3990" s="14">
        <v>2017</v>
      </c>
      <c r="E3990" s="14">
        <v>2017</v>
      </c>
      <c r="F3990" s="14" t="s">
        <v>265</v>
      </c>
      <c r="G3990" s="26">
        <v>392</v>
      </c>
      <c r="H3990" s="26">
        <v>675</v>
      </c>
      <c r="I3990" s="157">
        <v>3700</v>
      </c>
      <c r="J3990" s="30">
        <v>1</v>
      </c>
      <c r="K3990" s="30">
        <v>1</v>
      </c>
      <c r="L3990" s="158">
        <v>78</v>
      </c>
      <c r="M3990" s="30">
        <v>0.29499999999999998</v>
      </c>
      <c r="N3990" s="30">
        <v>8.4599999999999995E-2</v>
      </c>
    </row>
    <row r="3991" spans="1:14">
      <c r="A3991" s="106" t="s">
        <v>151</v>
      </c>
      <c r="B3991" s="14" t="s">
        <v>78</v>
      </c>
      <c r="C3991" s="14" t="s">
        <v>197</v>
      </c>
      <c r="D3991" s="14">
        <v>2017</v>
      </c>
      <c r="E3991" s="14">
        <v>2017</v>
      </c>
      <c r="F3991" s="14" t="s">
        <v>265</v>
      </c>
      <c r="G3991" s="26">
        <v>19822</v>
      </c>
      <c r="H3991" s="26">
        <v>43219</v>
      </c>
      <c r="I3991" s="157">
        <v>186418</v>
      </c>
      <c r="J3991" s="30">
        <v>0.99701789264413521</v>
      </c>
      <c r="K3991" s="30">
        <v>0.94763513513513509</v>
      </c>
      <c r="L3991" s="158">
        <v>7</v>
      </c>
      <c r="M3991" s="30">
        <v>0.28599999999999998</v>
      </c>
      <c r="N3991" s="30">
        <v>2.98E-2</v>
      </c>
    </row>
    <row r="3992" spans="1:14">
      <c r="A3992" s="106" t="s">
        <v>152</v>
      </c>
      <c r="B3992" s="14" t="s">
        <v>78</v>
      </c>
      <c r="C3992" s="14" t="s">
        <v>197</v>
      </c>
      <c r="D3992" s="14">
        <v>2017</v>
      </c>
      <c r="E3992" s="14">
        <v>2017</v>
      </c>
      <c r="F3992" s="14" t="s">
        <v>265</v>
      </c>
      <c r="G3992" s="26">
        <v>3127</v>
      </c>
      <c r="H3992" s="26">
        <v>6224</v>
      </c>
      <c r="I3992" s="157">
        <v>32166</v>
      </c>
      <c r="J3992" s="30">
        <v>0.93233082706766912</v>
      </c>
      <c r="K3992" s="30">
        <v>0.9101123595505618</v>
      </c>
      <c r="L3992" s="158">
        <v>78</v>
      </c>
      <c r="M3992" s="30">
        <v>0.29499999999999998</v>
      </c>
      <c r="N3992" s="30">
        <v>8.4599999999999995E-2</v>
      </c>
    </row>
    <row r="3993" spans="1:14">
      <c r="A3993" s="106" t="s">
        <v>153</v>
      </c>
      <c r="B3993" s="14" t="s">
        <v>78</v>
      </c>
      <c r="C3993" s="14" t="s">
        <v>197</v>
      </c>
      <c r="D3993" s="14">
        <v>2017</v>
      </c>
      <c r="E3993" s="14">
        <v>2017</v>
      </c>
      <c r="F3993" s="14" t="s">
        <v>265</v>
      </c>
      <c r="G3993" s="26">
        <v>4101</v>
      </c>
      <c r="H3993" s="26">
        <v>7086</v>
      </c>
      <c r="I3993" s="157">
        <v>25210</v>
      </c>
      <c r="J3993" s="30">
        <v>0.89639639639639634</v>
      </c>
      <c r="K3993" s="30">
        <v>0.85620915032679734</v>
      </c>
      <c r="L3993" s="158">
        <v>78</v>
      </c>
      <c r="M3993" s="30">
        <v>0.29499999999999998</v>
      </c>
      <c r="N3993" s="30">
        <v>8.4599999999999995E-2</v>
      </c>
    </row>
    <row r="3994" spans="1:14">
      <c r="A3994" s="106" t="s">
        <v>154</v>
      </c>
      <c r="B3994" s="14" t="s">
        <v>77</v>
      </c>
      <c r="C3994" s="14" t="s">
        <v>197</v>
      </c>
      <c r="D3994" s="14">
        <v>2017</v>
      </c>
      <c r="E3994" s="14">
        <v>2017</v>
      </c>
      <c r="F3994" s="14" t="s">
        <v>265</v>
      </c>
      <c r="G3994" s="26">
        <v>115627</v>
      </c>
      <c r="H3994" s="26">
        <v>233036</v>
      </c>
      <c r="I3994" s="157">
        <v>896981</v>
      </c>
      <c r="J3994" s="30">
        <v>0.99591305963217536</v>
      </c>
      <c r="K3994" s="30">
        <v>0.99412751677852351</v>
      </c>
      <c r="L3994" s="158">
        <v>42</v>
      </c>
      <c r="M3994" s="30">
        <v>0.35699999999999998</v>
      </c>
      <c r="N3994" s="30">
        <v>6.3700000000000007E-2</v>
      </c>
    </row>
    <row r="3995" spans="1:14">
      <c r="A3995" s="106" t="s">
        <v>155</v>
      </c>
      <c r="B3995" s="14" t="s">
        <v>77</v>
      </c>
      <c r="C3995" s="14" t="s">
        <v>197</v>
      </c>
      <c r="D3995" s="14">
        <v>2017</v>
      </c>
      <c r="E3995" s="14">
        <v>2017</v>
      </c>
      <c r="F3995" s="14" t="s">
        <v>265</v>
      </c>
      <c r="G3995" s="26">
        <v>8686</v>
      </c>
      <c r="H3995" s="26">
        <v>16186</v>
      </c>
      <c r="I3995" s="157">
        <v>61812</v>
      </c>
      <c r="J3995" s="30">
        <v>1</v>
      </c>
      <c r="K3995" s="30">
        <v>0.8839285714285714</v>
      </c>
      <c r="L3995" s="158">
        <v>78</v>
      </c>
      <c r="M3995" s="30">
        <v>0.29499999999999998</v>
      </c>
      <c r="N3995" s="30">
        <v>8.4599999999999995E-2</v>
      </c>
    </row>
    <row r="3996" spans="1:14">
      <c r="A3996" s="106" t="s">
        <v>156</v>
      </c>
      <c r="B3996" s="14" t="s">
        <v>78</v>
      </c>
      <c r="C3996" s="14" t="s">
        <v>197</v>
      </c>
      <c r="D3996" s="14">
        <v>2017</v>
      </c>
      <c r="E3996" s="14">
        <v>2017</v>
      </c>
      <c r="F3996" s="14" t="s">
        <v>265</v>
      </c>
      <c r="G3996" s="26">
        <v>1082</v>
      </c>
      <c r="H3996" s="26">
        <v>1960</v>
      </c>
      <c r="I3996" s="157">
        <v>6478</v>
      </c>
      <c r="J3996" s="30">
        <v>0.98809523809523814</v>
      </c>
      <c r="K3996" s="30">
        <v>0.93939393939393945</v>
      </c>
      <c r="L3996" s="158">
        <v>78</v>
      </c>
      <c r="M3996" s="30">
        <v>0.29499999999999998</v>
      </c>
      <c r="N3996" s="30">
        <v>8.4599999999999995E-2</v>
      </c>
    </row>
    <row r="3997" spans="1:14">
      <c r="A3997" s="106" t="s">
        <v>157</v>
      </c>
      <c r="B3997" s="14" t="s">
        <v>78</v>
      </c>
      <c r="C3997" s="14" t="s">
        <v>197</v>
      </c>
      <c r="D3997" s="14">
        <v>2017</v>
      </c>
      <c r="E3997" s="14">
        <v>2017</v>
      </c>
      <c r="F3997" s="14" t="s">
        <v>265</v>
      </c>
      <c r="G3997" s="26">
        <v>123150</v>
      </c>
      <c r="H3997" s="26">
        <v>271909</v>
      </c>
      <c r="I3997" s="157">
        <v>837547</v>
      </c>
      <c r="J3997" s="30">
        <v>0.99561961283029532</v>
      </c>
      <c r="K3997" s="30">
        <v>0.93817878028404345</v>
      </c>
      <c r="L3997" s="158">
        <v>35</v>
      </c>
      <c r="M3997" s="30">
        <v>0.314</v>
      </c>
      <c r="N3997" s="30">
        <v>4.7800000000000002E-2</v>
      </c>
    </row>
    <row r="3998" spans="1:14">
      <c r="A3998" s="106" t="s">
        <v>158</v>
      </c>
      <c r="B3998" s="14" t="s">
        <v>77</v>
      </c>
      <c r="C3998" s="14" t="s">
        <v>197</v>
      </c>
      <c r="D3998" s="14">
        <v>2017</v>
      </c>
      <c r="E3998" s="14">
        <v>2017</v>
      </c>
      <c r="F3998" s="14" t="s">
        <v>265</v>
      </c>
      <c r="G3998" s="26">
        <v>98666</v>
      </c>
      <c r="H3998" s="26">
        <v>205778</v>
      </c>
      <c r="I3998" s="157">
        <v>551880</v>
      </c>
      <c r="J3998" s="30">
        <v>0.99525638129658911</v>
      </c>
      <c r="K3998" s="30">
        <v>0.98845598845598848</v>
      </c>
      <c r="L3998" s="158">
        <v>38</v>
      </c>
      <c r="M3998" s="30">
        <v>0.5</v>
      </c>
      <c r="N3998" s="30">
        <v>4.2099999999999999E-2</v>
      </c>
    </row>
    <row r="3999" spans="1:14">
      <c r="A3999" s="106" t="s">
        <v>159</v>
      </c>
      <c r="B3999" s="14" t="s">
        <v>78</v>
      </c>
      <c r="C3999" s="14" t="s">
        <v>197</v>
      </c>
      <c r="D3999" s="14">
        <v>2017</v>
      </c>
      <c r="E3999" s="14">
        <v>2017</v>
      </c>
      <c r="F3999" s="14" t="s">
        <v>265</v>
      </c>
      <c r="G3999" s="26">
        <v>2145</v>
      </c>
      <c r="H3999" s="26">
        <v>4763</v>
      </c>
      <c r="I3999" s="157">
        <v>18630</v>
      </c>
      <c r="J3999" s="30">
        <v>0.98958333333333337</v>
      </c>
      <c r="K3999" s="30">
        <v>0.95454545454545459</v>
      </c>
      <c r="L3999" s="158">
        <v>78</v>
      </c>
      <c r="M3999" s="30">
        <v>0.29499999999999998</v>
      </c>
      <c r="N3999" s="30">
        <v>8.4599999999999995E-2</v>
      </c>
    </row>
    <row r="4000" spans="1:14">
      <c r="A4000" s="106" t="s">
        <v>160</v>
      </c>
      <c r="B4000" s="14" t="s">
        <v>78</v>
      </c>
      <c r="C4000" s="14" t="s">
        <v>197</v>
      </c>
      <c r="D4000" s="14">
        <v>2017</v>
      </c>
      <c r="E4000" s="14">
        <v>2017</v>
      </c>
      <c r="F4000" s="14" t="s">
        <v>265</v>
      </c>
      <c r="G4000" s="26">
        <v>166053</v>
      </c>
      <c r="H4000" s="26">
        <v>361938</v>
      </c>
      <c r="I4000" s="157">
        <v>883706</v>
      </c>
      <c r="J4000" s="30">
        <v>0.99482084346263611</v>
      </c>
      <c r="K4000" s="30">
        <v>0.94178565824572413</v>
      </c>
      <c r="L4000" s="158">
        <v>46</v>
      </c>
      <c r="M4000" s="30">
        <v>0.26100000000000001</v>
      </c>
      <c r="N4000" s="30">
        <v>3.6999999999999998E-2</v>
      </c>
    </row>
    <row r="4001" spans="1:14">
      <c r="A4001" s="106" t="s">
        <v>161</v>
      </c>
      <c r="B4001" s="14" t="s">
        <v>77</v>
      </c>
      <c r="C4001" s="14" t="s">
        <v>197</v>
      </c>
      <c r="D4001" s="14">
        <v>2017</v>
      </c>
      <c r="E4001" s="14">
        <v>2017</v>
      </c>
      <c r="F4001" s="14" t="s">
        <v>265</v>
      </c>
      <c r="G4001" s="26">
        <v>133572</v>
      </c>
      <c r="H4001" s="26">
        <v>267512</v>
      </c>
      <c r="I4001" s="157">
        <v>899120</v>
      </c>
      <c r="J4001" s="30">
        <v>0.98243846264574641</v>
      </c>
      <c r="K4001" s="30">
        <v>0.95470249520153549</v>
      </c>
      <c r="L4001" s="158">
        <v>59</v>
      </c>
      <c r="M4001" s="30">
        <v>0.42399999999999999</v>
      </c>
      <c r="N4001" s="30">
        <v>2.76E-2</v>
      </c>
    </row>
    <row r="4002" spans="1:14">
      <c r="A4002" s="106" t="s">
        <v>162</v>
      </c>
      <c r="B4002" s="14" t="s">
        <v>77</v>
      </c>
      <c r="C4002" s="14" t="s">
        <v>197</v>
      </c>
      <c r="D4002" s="14">
        <v>2017</v>
      </c>
      <c r="E4002" s="14">
        <v>2017</v>
      </c>
      <c r="F4002" s="14" t="s">
        <v>265</v>
      </c>
      <c r="G4002" s="26">
        <v>34152</v>
      </c>
      <c r="H4002" s="26">
        <v>50937</v>
      </c>
      <c r="I4002" s="157">
        <v>221915</v>
      </c>
      <c r="J4002" s="30">
        <v>0.98618618618618614</v>
      </c>
      <c r="K4002" s="30">
        <v>0.90364277320799058</v>
      </c>
      <c r="L4002" s="158">
        <v>10</v>
      </c>
      <c r="M4002" s="30">
        <v>0.3</v>
      </c>
      <c r="N4002" s="30">
        <v>8.3000000000000004E-2</v>
      </c>
    </row>
    <row r="4003" spans="1:14">
      <c r="A4003" s="106" t="s">
        <v>163</v>
      </c>
      <c r="B4003" s="14" t="s">
        <v>78</v>
      </c>
      <c r="C4003" s="14" t="s">
        <v>197</v>
      </c>
      <c r="D4003" s="14">
        <v>2017</v>
      </c>
      <c r="E4003" s="14">
        <v>2017</v>
      </c>
      <c r="F4003" s="14" t="s">
        <v>265</v>
      </c>
      <c r="G4003" s="26">
        <v>48114</v>
      </c>
      <c r="H4003" s="26">
        <v>106429</v>
      </c>
      <c r="I4003" s="157">
        <v>297905</v>
      </c>
      <c r="J4003" s="30">
        <v>0.98521505376344087</v>
      </c>
      <c r="K4003" s="30">
        <v>0.92159559834938098</v>
      </c>
      <c r="L4003" s="158">
        <v>14</v>
      </c>
      <c r="M4003" s="30">
        <v>7.0999999999999994E-2</v>
      </c>
      <c r="N4003" s="30">
        <v>3.6499999999999998E-2</v>
      </c>
    </row>
    <row r="4004" spans="1:14">
      <c r="A4004" s="106" t="s">
        <v>164</v>
      </c>
      <c r="B4004" s="14" t="s">
        <v>77</v>
      </c>
      <c r="C4004" s="14" t="s">
        <v>197</v>
      </c>
      <c r="D4004" s="14">
        <v>2017</v>
      </c>
      <c r="E4004" s="14">
        <v>2017</v>
      </c>
      <c r="F4004" s="14" t="s">
        <v>265</v>
      </c>
      <c r="G4004" s="26">
        <v>9456</v>
      </c>
      <c r="H4004" s="26">
        <v>16645</v>
      </c>
      <c r="I4004" s="157">
        <v>60194</v>
      </c>
      <c r="J4004" s="30">
        <v>0.9860788863109049</v>
      </c>
      <c r="K4004" s="30">
        <v>0.98340248962655596</v>
      </c>
      <c r="L4004" s="158">
        <v>78</v>
      </c>
      <c r="M4004" s="30">
        <v>0.29499999999999998</v>
      </c>
      <c r="N4004" s="30">
        <v>8.4599999999999995E-2</v>
      </c>
    </row>
    <row r="4005" spans="1:14">
      <c r="A4005" s="106" t="s">
        <v>165</v>
      </c>
      <c r="B4005" s="14" t="s">
        <v>77</v>
      </c>
      <c r="C4005" s="14" t="s">
        <v>197</v>
      </c>
      <c r="D4005" s="14">
        <v>2017</v>
      </c>
      <c r="E4005" s="14">
        <v>2017</v>
      </c>
      <c r="F4005" s="14" t="s">
        <v>265</v>
      </c>
      <c r="G4005" s="26">
        <v>13401</v>
      </c>
      <c r="H4005" s="26">
        <v>25662</v>
      </c>
      <c r="I4005" s="157">
        <v>150726</v>
      </c>
      <c r="J4005" s="30">
        <v>0.98185117967332125</v>
      </c>
      <c r="K4005" s="30">
        <v>0.87687687687687688</v>
      </c>
      <c r="L4005" s="158">
        <v>78</v>
      </c>
      <c r="M4005" s="30">
        <v>0.29499999999999998</v>
      </c>
      <c r="N4005" s="30">
        <v>8.4599999999999995E-2</v>
      </c>
    </row>
    <row r="4006" spans="1:14">
      <c r="A4006" s="106" t="s">
        <v>166</v>
      </c>
      <c r="B4006" s="14" t="s">
        <v>77</v>
      </c>
      <c r="C4006" s="14" t="s">
        <v>197</v>
      </c>
      <c r="D4006" s="14">
        <v>2017</v>
      </c>
      <c r="E4006" s="14">
        <v>2017</v>
      </c>
      <c r="F4006" s="14" t="s">
        <v>265</v>
      </c>
      <c r="G4006" s="26">
        <v>18120</v>
      </c>
      <c r="H4006" s="26">
        <v>36519</v>
      </c>
      <c r="I4006" s="157">
        <v>148270</v>
      </c>
      <c r="J4006" s="30">
        <v>0.97329376854599403</v>
      </c>
      <c r="K4006" s="30">
        <v>0.91884057971014488</v>
      </c>
      <c r="L4006" s="158">
        <v>78</v>
      </c>
      <c r="M4006" s="30">
        <v>0.29499999999999998</v>
      </c>
      <c r="N4006" s="30">
        <v>8.4599999999999995E-2</v>
      </c>
    </row>
    <row r="4007" spans="1:14">
      <c r="A4007" s="106" t="s">
        <v>167</v>
      </c>
      <c r="B4007" s="14" t="s">
        <v>77</v>
      </c>
      <c r="C4007" s="14" t="s">
        <v>197</v>
      </c>
      <c r="D4007" s="14">
        <v>2017</v>
      </c>
      <c r="E4007" s="14">
        <v>2017</v>
      </c>
      <c r="F4007" s="14" t="s">
        <v>265</v>
      </c>
      <c r="G4007" s="26">
        <v>46807</v>
      </c>
      <c r="H4007" s="26">
        <v>90804</v>
      </c>
      <c r="I4007" s="157">
        <v>425819</v>
      </c>
      <c r="J4007" s="30">
        <v>0.9795501022494888</v>
      </c>
      <c r="K4007" s="30">
        <v>0.97360248447204967</v>
      </c>
      <c r="L4007" s="158">
        <v>15</v>
      </c>
      <c r="M4007" s="30">
        <v>0.4</v>
      </c>
      <c r="N4007" s="30">
        <v>5.4199999999999998E-2</v>
      </c>
    </row>
    <row r="4008" spans="1:14">
      <c r="A4008" s="106" t="s">
        <v>168</v>
      </c>
      <c r="B4008" s="14" t="s">
        <v>77</v>
      </c>
      <c r="C4008" s="14" t="s">
        <v>197</v>
      </c>
      <c r="D4008" s="14">
        <v>2017</v>
      </c>
      <c r="E4008" s="14">
        <v>2017</v>
      </c>
      <c r="F4008" s="14" t="s">
        <v>265</v>
      </c>
      <c r="G4008" s="26">
        <v>14156</v>
      </c>
      <c r="H4008" s="26">
        <v>25125</v>
      </c>
      <c r="I4008" s="157">
        <v>78156</v>
      </c>
      <c r="J4008" s="30">
        <v>0.98619329388560162</v>
      </c>
      <c r="K4008" s="30">
        <v>0.99537037037037035</v>
      </c>
      <c r="L4008" s="158">
        <v>78</v>
      </c>
      <c r="M4008" s="30">
        <v>0.29499999999999998</v>
      </c>
      <c r="N4008" s="30">
        <v>8.4599999999999995E-2</v>
      </c>
    </row>
    <row r="4009" spans="1:14">
      <c r="A4009" s="106" t="s">
        <v>169</v>
      </c>
      <c r="B4009" s="14" t="s">
        <v>78</v>
      </c>
      <c r="C4009" s="14" t="s">
        <v>197</v>
      </c>
      <c r="D4009" s="14">
        <v>2017</v>
      </c>
      <c r="E4009" s="14">
        <v>2017</v>
      </c>
      <c r="F4009" s="14" t="s">
        <v>265</v>
      </c>
      <c r="G4009" s="26">
        <v>12375</v>
      </c>
      <c r="H4009" s="26">
        <v>23244</v>
      </c>
      <c r="I4009" s="157">
        <v>63095</v>
      </c>
      <c r="J4009" s="30">
        <v>0.96423248882265278</v>
      </c>
      <c r="K4009" s="30">
        <v>0.96047430830039526</v>
      </c>
      <c r="L4009" s="158">
        <v>78</v>
      </c>
      <c r="M4009" s="30">
        <v>0.29499999999999998</v>
      </c>
      <c r="N4009" s="30">
        <v>8.4599999999999995E-2</v>
      </c>
    </row>
    <row r="4010" spans="1:14">
      <c r="A4010" s="106" t="s">
        <v>170</v>
      </c>
      <c r="B4010" s="14" t="s">
        <v>78</v>
      </c>
      <c r="C4010" s="14" t="s">
        <v>197</v>
      </c>
      <c r="D4010" s="14">
        <v>2017</v>
      </c>
      <c r="E4010" s="14">
        <v>2017</v>
      </c>
      <c r="F4010" s="14" t="s">
        <v>265</v>
      </c>
      <c r="G4010" s="26">
        <v>160</v>
      </c>
      <c r="H4010" s="26">
        <v>268</v>
      </c>
      <c r="I4010" s="157">
        <v>855</v>
      </c>
      <c r="J4010" s="30">
        <v>1</v>
      </c>
      <c r="K4010" s="30">
        <v>0.83333333333333337</v>
      </c>
      <c r="L4010" s="158">
        <v>78</v>
      </c>
      <c r="M4010" s="30">
        <v>0.29499999999999998</v>
      </c>
      <c r="N4010" s="30">
        <v>8.4599999999999995E-2</v>
      </c>
    </row>
    <row r="4011" spans="1:14">
      <c r="A4011" s="106" t="s">
        <v>171</v>
      </c>
      <c r="B4011" s="14" t="s">
        <v>78</v>
      </c>
      <c r="C4011" s="14" t="s">
        <v>197</v>
      </c>
      <c r="D4011" s="14">
        <v>2017</v>
      </c>
      <c r="E4011" s="14">
        <v>2017</v>
      </c>
      <c r="F4011" s="14" t="s">
        <v>265</v>
      </c>
      <c r="G4011" s="26">
        <v>3050</v>
      </c>
      <c r="H4011" s="26">
        <v>6241</v>
      </c>
      <c r="I4011" s="157">
        <v>18718</v>
      </c>
      <c r="J4011" s="30">
        <v>0.98684210526315785</v>
      </c>
      <c r="K4011" s="30">
        <v>0.85950413223140498</v>
      </c>
      <c r="L4011" s="158">
        <v>78</v>
      </c>
      <c r="M4011" s="30">
        <v>0.29499999999999998</v>
      </c>
      <c r="N4011" s="30">
        <v>8.4599999999999995E-2</v>
      </c>
    </row>
    <row r="4012" spans="1:14">
      <c r="A4012" s="106" t="s">
        <v>172</v>
      </c>
      <c r="B4012" s="14" t="s">
        <v>77</v>
      </c>
      <c r="C4012" s="14" t="s">
        <v>197</v>
      </c>
      <c r="D4012" s="14">
        <v>2017</v>
      </c>
      <c r="E4012" s="14">
        <v>2017</v>
      </c>
      <c r="F4012" s="14" t="s">
        <v>265</v>
      </c>
      <c r="G4012" s="26">
        <v>21031</v>
      </c>
      <c r="H4012" s="26">
        <v>39333</v>
      </c>
      <c r="I4012" s="157">
        <v>121143</v>
      </c>
      <c r="J4012" s="30">
        <v>0.97444444444444445</v>
      </c>
      <c r="K4012" s="30">
        <v>0.97023809523809523</v>
      </c>
      <c r="L4012" s="158">
        <v>8</v>
      </c>
      <c r="M4012" s="30">
        <v>0.5</v>
      </c>
      <c r="N4012" s="30">
        <v>5.7000000000000002E-3</v>
      </c>
    </row>
    <row r="4013" spans="1:14">
      <c r="A4013" s="106" t="s">
        <v>173</v>
      </c>
      <c r="B4013" s="14" t="s">
        <v>77</v>
      </c>
      <c r="C4013" s="14" t="s">
        <v>197</v>
      </c>
      <c r="D4013" s="14">
        <v>2017</v>
      </c>
      <c r="E4013" s="14">
        <v>2017</v>
      </c>
      <c r="F4013" s="14" t="s">
        <v>265</v>
      </c>
      <c r="G4013" s="26">
        <v>17242</v>
      </c>
      <c r="H4013" s="26">
        <v>30059</v>
      </c>
      <c r="I4013" s="157">
        <v>128106</v>
      </c>
      <c r="J4013" s="30">
        <v>0.97302904564315351</v>
      </c>
      <c r="K4013" s="30">
        <v>0.90829694323144106</v>
      </c>
      <c r="L4013" s="158">
        <v>78</v>
      </c>
      <c r="M4013" s="30">
        <v>0.29499999999999998</v>
      </c>
      <c r="N4013" s="30">
        <v>8.4599999999999995E-2</v>
      </c>
    </row>
    <row r="4014" spans="1:14">
      <c r="A4014" s="106" t="s">
        <v>174</v>
      </c>
      <c r="B4014" s="14" t="s">
        <v>78</v>
      </c>
      <c r="C4014" s="14" t="s">
        <v>197</v>
      </c>
      <c r="D4014" s="14">
        <v>2017</v>
      </c>
      <c r="E4014" s="14">
        <v>2017</v>
      </c>
      <c r="F4014" s="14" t="s">
        <v>265</v>
      </c>
      <c r="G4014" s="26">
        <v>39568</v>
      </c>
      <c r="H4014" s="26">
        <v>82528</v>
      </c>
      <c r="I4014" s="157">
        <v>251138</v>
      </c>
      <c r="J4014" s="30">
        <v>0.98519980266403551</v>
      </c>
      <c r="K4014" s="30">
        <v>0.95195195195195192</v>
      </c>
      <c r="L4014" s="158">
        <v>9</v>
      </c>
      <c r="M4014" s="30">
        <v>0.55600000000000005</v>
      </c>
      <c r="N4014" s="30">
        <v>4.2900000000000001E-2</v>
      </c>
    </row>
    <row r="4015" spans="1:14">
      <c r="A4015" s="106" t="s">
        <v>175</v>
      </c>
      <c r="B4015" s="14" t="s">
        <v>78</v>
      </c>
      <c r="C4015" s="14" t="s">
        <v>197</v>
      </c>
      <c r="D4015" s="14">
        <v>2017</v>
      </c>
      <c r="E4015" s="14">
        <v>2017</v>
      </c>
      <c r="F4015" s="14" t="s">
        <v>265</v>
      </c>
      <c r="G4015" s="26">
        <v>5413</v>
      </c>
      <c r="H4015" s="26">
        <v>12391</v>
      </c>
      <c r="I4015" s="157">
        <v>42063</v>
      </c>
      <c r="J4015" s="30">
        <v>0.99567099567099571</v>
      </c>
      <c r="K4015" s="30">
        <v>0.90816326530612246</v>
      </c>
      <c r="L4015" s="158">
        <v>78</v>
      </c>
      <c r="M4015" s="30">
        <v>0.29499999999999998</v>
      </c>
      <c r="N4015" s="30">
        <v>8.4599999999999995E-2</v>
      </c>
    </row>
    <row r="4016" spans="1:14">
      <c r="A4016" s="106" t="s">
        <v>176</v>
      </c>
      <c r="B4016" s="14" t="s">
        <v>78</v>
      </c>
      <c r="C4016" s="14" t="s">
        <v>197</v>
      </c>
      <c r="D4016" s="14">
        <v>2017</v>
      </c>
      <c r="E4016" s="14">
        <v>2017</v>
      </c>
      <c r="F4016" s="14" t="s">
        <v>265</v>
      </c>
      <c r="G4016" s="26">
        <v>4296</v>
      </c>
      <c r="H4016" s="26">
        <v>9342</v>
      </c>
      <c r="I4016" s="157">
        <v>27156</v>
      </c>
      <c r="J4016" s="30">
        <v>0.93518518518518523</v>
      </c>
      <c r="K4016" s="30">
        <v>0.91549295774647887</v>
      </c>
      <c r="L4016" s="158">
        <v>78</v>
      </c>
      <c r="M4016" s="30">
        <v>0.29499999999999998</v>
      </c>
      <c r="N4016" s="30">
        <v>8.4599999999999995E-2</v>
      </c>
    </row>
    <row r="4017" spans="1:14">
      <c r="A4017" s="106" t="s">
        <v>177</v>
      </c>
      <c r="B4017" s="14" t="s">
        <v>78</v>
      </c>
      <c r="C4017" s="14" t="s">
        <v>197</v>
      </c>
      <c r="D4017" s="14">
        <v>2017</v>
      </c>
      <c r="E4017" s="14">
        <v>2017</v>
      </c>
      <c r="F4017" s="14" t="s">
        <v>265</v>
      </c>
      <c r="G4017" s="26">
        <v>972</v>
      </c>
      <c r="H4017" s="26">
        <v>1707</v>
      </c>
      <c r="I4017" s="157">
        <v>4787</v>
      </c>
      <c r="J4017" s="30">
        <v>1</v>
      </c>
      <c r="K4017" s="30">
        <v>0.63636363636363635</v>
      </c>
      <c r="L4017" s="158">
        <v>78</v>
      </c>
      <c r="M4017" s="30">
        <v>0.29499999999999998</v>
      </c>
      <c r="N4017" s="30">
        <v>8.4599999999999995E-2</v>
      </c>
    </row>
    <row r="4018" spans="1:14">
      <c r="A4018" s="106" t="s">
        <v>178</v>
      </c>
      <c r="B4018" s="14" t="s">
        <v>77</v>
      </c>
      <c r="C4018" s="14" t="s">
        <v>197</v>
      </c>
      <c r="D4018" s="14">
        <v>2017</v>
      </c>
      <c r="E4018" s="14">
        <v>2017</v>
      </c>
      <c r="F4018" s="14" t="s">
        <v>265</v>
      </c>
      <c r="G4018" s="26">
        <v>50769</v>
      </c>
      <c r="H4018" s="26">
        <v>117031</v>
      </c>
      <c r="I4018" s="157">
        <v>258425</v>
      </c>
      <c r="J4018" s="30">
        <v>0.94336202990484819</v>
      </c>
      <c r="K4018" s="30">
        <v>0.75496688741721851</v>
      </c>
      <c r="L4018" s="158">
        <v>15</v>
      </c>
      <c r="M4018" s="30">
        <v>0.4</v>
      </c>
      <c r="N4018" s="30">
        <v>4.2799999999999998E-2</v>
      </c>
    </row>
    <row r="4019" spans="1:14">
      <c r="A4019" s="106" t="s">
        <v>179</v>
      </c>
      <c r="B4019" s="14" t="s">
        <v>78</v>
      </c>
      <c r="C4019" s="14" t="s">
        <v>197</v>
      </c>
      <c r="D4019" s="14">
        <v>2017</v>
      </c>
      <c r="E4019" s="14">
        <v>2017</v>
      </c>
      <c r="F4019" s="14" t="s">
        <v>265</v>
      </c>
      <c r="G4019" s="26">
        <v>2762</v>
      </c>
      <c r="H4019" s="26">
        <v>4839</v>
      </c>
      <c r="I4019" s="157">
        <v>13939</v>
      </c>
      <c r="J4019" s="30">
        <v>0.97810218978102192</v>
      </c>
      <c r="K4019" s="30">
        <v>0.93396226415094341</v>
      </c>
      <c r="L4019" s="158">
        <v>78</v>
      </c>
      <c r="M4019" s="30">
        <v>0.29499999999999998</v>
      </c>
      <c r="N4019" s="30">
        <v>8.4599999999999995E-2</v>
      </c>
    </row>
    <row r="4020" spans="1:14">
      <c r="A4020" s="106" t="s">
        <v>180</v>
      </c>
      <c r="B4020" s="14" t="s">
        <v>77</v>
      </c>
      <c r="C4020" s="14" t="s">
        <v>197</v>
      </c>
      <c r="D4020" s="14">
        <v>2017</v>
      </c>
      <c r="E4020" s="14">
        <v>2017</v>
      </c>
      <c r="F4020" s="14" t="s">
        <v>265</v>
      </c>
      <c r="G4020" s="26">
        <v>34825</v>
      </c>
      <c r="H4020" s="26">
        <v>68412</v>
      </c>
      <c r="I4020" s="157">
        <v>233778</v>
      </c>
      <c r="J4020" s="30">
        <v>0.98614150255288113</v>
      </c>
      <c r="K4020" s="30">
        <v>0.97043832823649334</v>
      </c>
      <c r="L4020" s="158">
        <v>15</v>
      </c>
      <c r="M4020" s="30">
        <v>0.13300000000000001</v>
      </c>
      <c r="N4020" s="30">
        <v>6.13E-2</v>
      </c>
    </row>
    <row r="4021" spans="1:14">
      <c r="A4021" s="106" t="s">
        <v>181</v>
      </c>
      <c r="B4021" s="14" t="s">
        <v>77</v>
      </c>
      <c r="C4021" s="14" t="s">
        <v>197</v>
      </c>
      <c r="D4021" s="14">
        <v>2017</v>
      </c>
      <c r="E4021" s="14">
        <v>2017</v>
      </c>
      <c r="F4021" s="14" t="s">
        <v>265</v>
      </c>
      <c r="G4021" s="26">
        <v>9815</v>
      </c>
      <c r="H4021" s="26">
        <v>18777</v>
      </c>
      <c r="I4021" s="157">
        <v>59159</v>
      </c>
      <c r="J4021" s="30">
        <v>0.9460093896713615</v>
      </c>
      <c r="K4021" s="30">
        <v>0.96812749003984067</v>
      </c>
      <c r="L4021" s="158">
        <v>78</v>
      </c>
      <c r="M4021" s="30">
        <v>0.29499999999999998</v>
      </c>
      <c r="N4021" s="30">
        <v>8.4599999999999995E-2</v>
      </c>
    </row>
    <row r="4022" spans="1:14">
      <c r="A4022" s="106" t="s">
        <v>182</v>
      </c>
      <c r="B4022" s="14" t="s">
        <v>78</v>
      </c>
      <c r="C4022" s="14" t="s">
        <v>197</v>
      </c>
      <c r="D4022" s="14">
        <v>2017</v>
      </c>
      <c r="E4022" s="14">
        <v>2017</v>
      </c>
      <c r="F4022" s="14" t="s">
        <v>265</v>
      </c>
      <c r="G4022" s="26">
        <v>6036</v>
      </c>
      <c r="H4022" s="26">
        <v>13060</v>
      </c>
      <c r="I4022" s="157">
        <v>32798</v>
      </c>
      <c r="J4022" s="30">
        <v>1</v>
      </c>
      <c r="K4022" s="30">
        <v>0.95726495726495731</v>
      </c>
      <c r="L4022" s="158">
        <v>78</v>
      </c>
      <c r="M4022" s="30">
        <v>0.29499999999999998</v>
      </c>
      <c r="N4022" s="30">
        <v>8.4599999999999995E-2</v>
      </c>
    </row>
    <row r="4023" spans="1:14">
      <c r="A4023" s="56" t="s">
        <v>183</v>
      </c>
      <c r="B4023" s="14" t="s">
        <v>66</v>
      </c>
      <c r="C4023" s="14" t="s">
        <v>198</v>
      </c>
      <c r="D4023" s="14">
        <v>2017</v>
      </c>
      <c r="E4023" s="14">
        <v>2017</v>
      </c>
      <c r="F4023" s="14" t="s">
        <v>265</v>
      </c>
      <c r="G4023" s="110">
        <v>1984021</v>
      </c>
      <c r="H4023" s="113">
        <v>4085151</v>
      </c>
      <c r="I4023" s="108"/>
      <c r="J4023" s="109">
        <v>0.98035119355228872</v>
      </c>
      <c r="K4023" s="109">
        <v>0.92840581349318552</v>
      </c>
      <c r="L4023" s="159">
        <v>795</v>
      </c>
      <c r="M4023" s="109">
        <v>0.39</v>
      </c>
      <c r="N4023" s="109">
        <v>6.6400000000000001E-2</v>
      </c>
    </row>
    <row r="4024" spans="1:14">
      <c r="A4024" s="56" t="s">
        <v>184</v>
      </c>
      <c r="B4024" s="14" t="s">
        <v>77</v>
      </c>
      <c r="C4024" s="14" t="s">
        <v>198</v>
      </c>
      <c r="D4024" s="14">
        <v>2017</v>
      </c>
      <c r="E4024" s="14">
        <v>2017</v>
      </c>
      <c r="F4024" s="14" t="s">
        <v>265</v>
      </c>
      <c r="G4024" s="110">
        <v>57189</v>
      </c>
      <c r="H4024" s="113">
        <v>107586</v>
      </c>
      <c r="I4024" s="108"/>
      <c r="J4024" s="30" t="s">
        <v>66</v>
      </c>
      <c r="K4024" s="30" t="s">
        <v>66</v>
      </c>
      <c r="L4024" s="159">
        <v>21</v>
      </c>
      <c r="M4024" s="109">
        <v>0.42899999999999999</v>
      </c>
      <c r="N4024" s="109">
        <v>2.8799999999999999E-2</v>
      </c>
    </row>
    <row r="4025" spans="1:14">
      <c r="A4025" s="56" t="s">
        <v>185</v>
      </c>
      <c r="B4025" s="14" t="s">
        <v>78</v>
      </c>
      <c r="C4025" s="14" t="s">
        <v>198</v>
      </c>
      <c r="D4025" s="14">
        <v>2017</v>
      </c>
      <c r="E4025" s="14">
        <v>2017</v>
      </c>
      <c r="F4025" s="14" t="s">
        <v>265</v>
      </c>
      <c r="G4025" s="110">
        <v>76</v>
      </c>
      <c r="H4025" s="113">
        <v>136</v>
      </c>
      <c r="I4025" s="108"/>
      <c r="J4025" s="109">
        <v>1</v>
      </c>
      <c r="K4025" s="109">
        <v>0.25</v>
      </c>
      <c r="L4025" s="159">
        <v>81</v>
      </c>
      <c r="M4025" s="109">
        <v>0.29599999999999999</v>
      </c>
      <c r="N4025" s="109">
        <v>9.0300000000000005E-2</v>
      </c>
    </row>
    <row r="4026" spans="1:14">
      <c r="A4026" s="56" t="s">
        <v>186</v>
      </c>
      <c r="B4026" s="14" t="s">
        <v>78</v>
      </c>
      <c r="C4026" s="14" t="s">
        <v>198</v>
      </c>
      <c r="D4026" s="14">
        <v>2017</v>
      </c>
      <c r="E4026" s="14">
        <v>2017</v>
      </c>
      <c r="F4026" s="14" t="s">
        <v>265</v>
      </c>
      <c r="G4026" s="110">
        <v>1651</v>
      </c>
      <c r="H4026" s="113">
        <v>2996</v>
      </c>
      <c r="I4026" s="108"/>
      <c r="J4026" s="109">
        <v>0.97802197802197799</v>
      </c>
      <c r="K4026" s="109">
        <v>0.98113207547169812</v>
      </c>
      <c r="L4026" s="159">
        <v>81</v>
      </c>
      <c r="M4026" s="109">
        <v>0.29599999999999999</v>
      </c>
      <c r="N4026" s="109">
        <v>9.0300000000000005E-2</v>
      </c>
    </row>
    <row r="4027" spans="1:14">
      <c r="A4027" s="56" t="s">
        <v>187</v>
      </c>
      <c r="B4027" s="14" t="s">
        <v>78</v>
      </c>
      <c r="C4027" s="14" t="s">
        <v>198</v>
      </c>
      <c r="D4027" s="14">
        <v>2017</v>
      </c>
      <c r="E4027" s="14">
        <v>2017</v>
      </c>
      <c r="F4027" s="14" t="s">
        <v>265</v>
      </c>
      <c r="G4027" s="110">
        <v>16547</v>
      </c>
      <c r="H4027" s="113">
        <v>30767</v>
      </c>
      <c r="I4027" s="108"/>
      <c r="J4027" s="109">
        <v>0.87278761061946897</v>
      </c>
      <c r="K4027" s="109">
        <v>0.93620178041543023</v>
      </c>
      <c r="L4027" s="159">
        <v>81</v>
      </c>
      <c r="M4027" s="109">
        <v>0.29599999999999999</v>
      </c>
      <c r="N4027" s="109">
        <v>9.0300000000000005E-2</v>
      </c>
    </row>
    <row r="4028" spans="1:14">
      <c r="A4028" s="56" t="s">
        <v>188</v>
      </c>
      <c r="B4028" s="14" t="s">
        <v>78</v>
      </c>
      <c r="C4028" s="14" t="s">
        <v>198</v>
      </c>
      <c r="D4028" s="14">
        <v>2017</v>
      </c>
      <c r="E4028" s="14">
        <v>2017</v>
      </c>
      <c r="F4028" s="14" t="s">
        <v>265</v>
      </c>
      <c r="G4028" s="110">
        <v>2796</v>
      </c>
      <c r="H4028" s="113">
        <v>5024</v>
      </c>
      <c r="I4028" s="108"/>
      <c r="J4028" s="109">
        <v>0.97457627118644063</v>
      </c>
      <c r="K4028" s="109">
        <v>0.91025641025641024</v>
      </c>
      <c r="L4028" s="159">
        <v>81</v>
      </c>
      <c r="M4028" s="109">
        <v>0.29599999999999999</v>
      </c>
      <c r="N4028" s="109">
        <v>9.0300000000000005E-2</v>
      </c>
    </row>
    <row r="4029" spans="1:14">
      <c r="A4029" s="56" t="s">
        <v>189</v>
      </c>
      <c r="B4029" s="14" t="s">
        <v>78</v>
      </c>
      <c r="C4029" s="14" t="s">
        <v>198</v>
      </c>
      <c r="D4029" s="14">
        <v>2017</v>
      </c>
      <c r="E4029" s="14">
        <v>2017</v>
      </c>
      <c r="F4029" s="14" t="s">
        <v>265</v>
      </c>
      <c r="G4029" s="110">
        <v>690</v>
      </c>
      <c r="H4029" s="113">
        <v>1509</v>
      </c>
      <c r="I4029" s="108"/>
      <c r="J4029" s="109">
        <v>1</v>
      </c>
      <c r="K4029" s="109">
        <v>0.90476190476190477</v>
      </c>
      <c r="L4029" s="159">
        <v>81</v>
      </c>
      <c r="M4029" s="109">
        <v>0.29599999999999999</v>
      </c>
      <c r="N4029" s="109">
        <v>9.0300000000000005E-2</v>
      </c>
    </row>
    <row r="4030" spans="1:14">
      <c r="A4030" s="56" t="s">
        <v>190</v>
      </c>
      <c r="B4030" s="14" t="s">
        <v>77</v>
      </c>
      <c r="C4030" s="14" t="s">
        <v>198</v>
      </c>
      <c r="D4030" s="14">
        <v>2017</v>
      </c>
      <c r="E4030" s="14">
        <v>2017</v>
      </c>
      <c r="F4030" s="14" t="s">
        <v>265</v>
      </c>
      <c r="G4030" s="110">
        <v>31466</v>
      </c>
      <c r="H4030" s="113">
        <v>62968</v>
      </c>
      <c r="I4030" s="108"/>
      <c r="J4030" s="109">
        <v>0.97740112994350281</v>
      </c>
      <c r="K4030" s="109">
        <v>0.97413793103448276</v>
      </c>
      <c r="L4030" s="159">
        <v>13</v>
      </c>
      <c r="M4030" s="109">
        <v>0.308</v>
      </c>
      <c r="N4030" s="109">
        <v>6.0699999999999997E-2</v>
      </c>
    </row>
    <row r="4031" spans="1:14">
      <c r="A4031" s="56" t="s">
        <v>191</v>
      </c>
      <c r="B4031" s="14" t="s">
        <v>78</v>
      </c>
      <c r="C4031" s="14" t="s">
        <v>198</v>
      </c>
      <c r="D4031" s="14">
        <v>2017</v>
      </c>
      <c r="E4031" s="14">
        <v>2017</v>
      </c>
      <c r="F4031" s="14" t="s">
        <v>265</v>
      </c>
      <c r="G4031" s="110">
        <v>2584</v>
      </c>
      <c r="H4031" s="113">
        <v>5259</v>
      </c>
      <c r="I4031" s="108"/>
      <c r="J4031" s="109">
        <v>0.98113207547169812</v>
      </c>
      <c r="K4031" s="109">
        <v>0.93506493506493504</v>
      </c>
      <c r="L4031" s="159">
        <v>81</v>
      </c>
      <c r="M4031" s="109">
        <v>0.29599999999999999</v>
      </c>
      <c r="N4031" s="109">
        <v>9.0300000000000005E-2</v>
      </c>
    </row>
    <row r="4032" spans="1:14">
      <c r="A4032" s="56" t="s">
        <v>192</v>
      </c>
      <c r="B4032" s="14" t="s">
        <v>78</v>
      </c>
      <c r="C4032" s="14" t="s">
        <v>198</v>
      </c>
      <c r="D4032" s="14">
        <v>2017</v>
      </c>
      <c r="E4032" s="14">
        <v>2017</v>
      </c>
      <c r="F4032" s="14" t="s">
        <v>265</v>
      </c>
      <c r="G4032" s="110">
        <v>6736</v>
      </c>
      <c r="H4032" s="113">
        <v>11873</v>
      </c>
      <c r="I4032" s="108"/>
      <c r="J4032" s="109">
        <v>0.99003322259136217</v>
      </c>
      <c r="K4032" s="109">
        <v>0.98734177215189878</v>
      </c>
      <c r="L4032" s="159">
        <v>81</v>
      </c>
      <c r="M4032" s="109">
        <v>0.29599999999999999</v>
      </c>
      <c r="N4032" s="109">
        <v>9.0300000000000005E-2</v>
      </c>
    </row>
    <row r="4033" spans="1:14">
      <c r="A4033" s="106" t="s">
        <v>134</v>
      </c>
      <c r="B4033" s="14" t="s">
        <v>77</v>
      </c>
      <c r="C4033" s="14" t="s">
        <v>198</v>
      </c>
      <c r="D4033" s="14">
        <v>2017</v>
      </c>
      <c r="E4033" s="14">
        <v>2017</v>
      </c>
      <c r="F4033" s="14" t="s">
        <v>265</v>
      </c>
      <c r="G4033" s="110">
        <v>88568</v>
      </c>
      <c r="H4033" s="113">
        <v>204520</v>
      </c>
      <c r="I4033" s="108"/>
      <c r="J4033" s="109">
        <v>0.95230574857864814</v>
      </c>
      <c r="K4033" s="109">
        <v>0.93431553100061382</v>
      </c>
      <c r="L4033" s="159">
        <v>37</v>
      </c>
      <c r="M4033" s="109">
        <v>0.432</v>
      </c>
      <c r="N4033" s="109">
        <v>4.1300000000000003E-2</v>
      </c>
    </row>
    <row r="4034" spans="1:14">
      <c r="A4034" s="106" t="s">
        <v>135</v>
      </c>
      <c r="B4034" s="14" t="s">
        <v>78</v>
      </c>
      <c r="C4034" s="14" t="s">
        <v>198</v>
      </c>
      <c r="D4034" s="14">
        <v>2017</v>
      </c>
      <c r="E4034" s="14">
        <v>2017</v>
      </c>
      <c r="F4034" s="14" t="s">
        <v>265</v>
      </c>
      <c r="G4034" s="110">
        <v>1488</v>
      </c>
      <c r="H4034" s="113">
        <v>3427</v>
      </c>
      <c r="I4034" s="108"/>
      <c r="J4034" s="109">
        <v>0.96491228070175439</v>
      </c>
      <c r="K4034" s="109">
        <v>0.96969696969696972</v>
      </c>
      <c r="L4034" s="159">
        <v>81</v>
      </c>
      <c r="M4034" s="109">
        <v>0.29599999999999999</v>
      </c>
      <c r="N4034" s="109">
        <v>9.0300000000000005E-2</v>
      </c>
    </row>
    <row r="4035" spans="1:14">
      <c r="A4035" s="106" t="s">
        <v>136</v>
      </c>
      <c r="B4035" s="14" t="s">
        <v>78</v>
      </c>
      <c r="C4035" s="14" t="s">
        <v>198</v>
      </c>
      <c r="D4035" s="14">
        <v>2017</v>
      </c>
      <c r="E4035" s="14">
        <v>2017</v>
      </c>
      <c r="F4035" s="14" t="s">
        <v>265</v>
      </c>
      <c r="G4035" s="110">
        <v>11960</v>
      </c>
      <c r="H4035" s="113">
        <v>20262</v>
      </c>
      <c r="I4035" s="108"/>
      <c r="J4035" s="109">
        <v>0.99530516431924887</v>
      </c>
      <c r="K4035" s="109">
        <v>0.98181818181818181</v>
      </c>
      <c r="L4035" s="159">
        <v>81</v>
      </c>
      <c r="M4035" s="109">
        <v>0.29599999999999999</v>
      </c>
      <c r="N4035" s="109">
        <v>9.0300000000000005E-2</v>
      </c>
    </row>
    <row r="4036" spans="1:14">
      <c r="A4036" s="106" t="s">
        <v>137</v>
      </c>
      <c r="B4036" s="14" t="s">
        <v>78</v>
      </c>
      <c r="C4036" s="14" t="s">
        <v>198</v>
      </c>
      <c r="D4036" s="14">
        <v>2017</v>
      </c>
      <c r="E4036" s="14">
        <v>2017</v>
      </c>
      <c r="F4036" s="14" t="s">
        <v>265</v>
      </c>
      <c r="G4036" s="110">
        <v>17361</v>
      </c>
      <c r="H4036" s="113">
        <v>42162</v>
      </c>
      <c r="I4036" s="108"/>
      <c r="J4036" s="109">
        <v>0.9604221635883905</v>
      </c>
      <c r="K4036" s="109">
        <v>0.92129629629629628</v>
      </c>
      <c r="L4036" s="159">
        <v>81</v>
      </c>
      <c r="M4036" s="109">
        <v>0.29599999999999999</v>
      </c>
      <c r="N4036" s="109">
        <v>9.0300000000000005E-2</v>
      </c>
    </row>
    <row r="4037" spans="1:14">
      <c r="A4037" s="106" t="s">
        <v>138</v>
      </c>
      <c r="B4037" s="14" t="s">
        <v>78</v>
      </c>
      <c r="C4037" s="14" t="s">
        <v>198</v>
      </c>
      <c r="D4037" s="14">
        <v>2017</v>
      </c>
      <c r="E4037" s="14">
        <v>2017</v>
      </c>
      <c r="F4037" s="14" t="s">
        <v>265</v>
      </c>
      <c r="G4037" s="110">
        <v>1013</v>
      </c>
      <c r="H4037" s="113">
        <v>1952</v>
      </c>
      <c r="I4037" s="108"/>
      <c r="J4037" s="109">
        <v>1</v>
      </c>
      <c r="K4037" s="109">
        <v>0.97499999999999998</v>
      </c>
      <c r="L4037" s="159">
        <v>81</v>
      </c>
      <c r="M4037" s="109">
        <v>0.29599999999999999</v>
      </c>
      <c r="N4037" s="109">
        <v>9.0300000000000005E-2</v>
      </c>
    </row>
    <row r="4038" spans="1:14">
      <c r="A4038" s="106" t="s">
        <v>139</v>
      </c>
      <c r="B4038" s="14" t="s">
        <v>78</v>
      </c>
      <c r="C4038" s="14" t="s">
        <v>198</v>
      </c>
      <c r="D4038" s="14">
        <v>2017</v>
      </c>
      <c r="E4038" s="14">
        <v>2017</v>
      </c>
      <c r="F4038" s="14" t="s">
        <v>265</v>
      </c>
      <c r="G4038" s="110">
        <v>68715</v>
      </c>
      <c r="H4038" s="113">
        <v>158997</v>
      </c>
      <c r="I4038" s="108"/>
      <c r="J4038" s="109">
        <v>0.98411243507485491</v>
      </c>
      <c r="K4038" s="109">
        <v>0.93222818137493901</v>
      </c>
      <c r="L4038" s="159">
        <v>19</v>
      </c>
      <c r="M4038" s="109">
        <v>0.21099999999999999</v>
      </c>
      <c r="N4038" s="109">
        <v>1.9400000000000001E-2</v>
      </c>
    </row>
    <row r="4039" spans="1:14">
      <c r="A4039" s="106" t="s">
        <v>140</v>
      </c>
      <c r="B4039" s="14" t="s">
        <v>78</v>
      </c>
      <c r="C4039" s="14" t="s">
        <v>198</v>
      </c>
      <c r="D4039" s="14">
        <v>2017</v>
      </c>
      <c r="E4039" s="14">
        <v>2017</v>
      </c>
      <c r="F4039" s="14" t="s">
        <v>265</v>
      </c>
      <c r="G4039" s="110">
        <v>10540</v>
      </c>
      <c r="H4039" s="113">
        <v>23600</v>
      </c>
      <c r="I4039" s="108"/>
      <c r="J4039" s="109">
        <v>0.99625468164794007</v>
      </c>
      <c r="K4039" s="109">
        <v>0.94100294985250732</v>
      </c>
      <c r="L4039" s="159">
        <v>81</v>
      </c>
      <c r="M4039" s="109">
        <v>0.29599999999999999</v>
      </c>
      <c r="N4039" s="109">
        <v>9.0300000000000005E-2</v>
      </c>
    </row>
    <row r="4040" spans="1:14">
      <c r="A4040" s="106" t="s">
        <v>141</v>
      </c>
      <c r="B4040" s="14" t="s">
        <v>78</v>
      </c>
      <c r="C4040" s="14" t="s">
        <v>198</v>
      </c>
      <c r="D4040" s="14">
        <v>2017</v>
      </c>
      <c r="E4040" s="14">
        <v>2017</v>
      </c>
      <c r="F4040" s="14" t="s">
        <v>265</v>
      </c>
      <c r="G4040" s="110">
        <v>6385</v>
      </c>
      <c r="H4040" s="113">
        <v>11824</v>
      </c>
      <c r="I4040" s="108"/>
      <c r="J4040" s="109">
        <v>0.93174061433447097</v>
      </c>
      <c r="K4040" s="109">
        <v>0.90173410404624277</v>
      </c>
      <c r="L4040" s="159">
        <v>81</v>
      </c>
      <c r="M4040" s="109">
        <v>0.29599999999999999</v>
      </c>
      <c r="N4040" s="109">
        <v>9.0300000000000005E-2</v>
      </c>
    </row>
    <row r="4041" spans="1:14">
      <c r="A4041" s="106" t="s">
        <v>142</v>
      </c>
      <c r="B4041" s="14" t="s">
        <v>78</v>
      </c>
      <c r="C4041" s="14" t="s">
        <v>198</v>
      </c>
      <c r="D4041" s="14">
        <v>2017</v>
      </c>
      <c r="E4041" s="14">
        <v>2017</v>
      </c>
      <c r="F4041" s="14" t="s">
        <v>265</v>
      </c>
      <c r="G4041" s="110">
        <v>1566</v>
      </c>
      <c r="H4041" s="113">
        <v>3139</v>
      </c>
      <c r="I4041" s="108"/>
      <c r="J4041" s="109">
        <v>0.96296296296296302</v>
      </c>
      <c r="K4041" s="109">
        <v>0.8928571428571429</v>
      </c>
      <c r="L4041" s="159">
        <v>81</v>
      </c>
      <c r="M4041" s="109">
        <v>0.29599999999999999</v>
      </c>
      <c r="N4041" s="109">
        <v>9.0300000000000005E-2</v>
      </c>
    </row>
    <row r="4042" spans="1:14">
      <c r="A4042" s="106" t="s">
        <v>143</v>
      </c>
      <c r="B4042" s="14" t="s">
        <v>79</v>
      </c>
      <c r="C4042" s="14" t="s">
        <v>198</v>
      </c>
      <c r="D4042" s="14">
        <v>2017</v>
      </c>
      <c r="E4042" s="14">
        <v>2017</v>
      </c>
      <c r="F4042" s="14" t="s">
        <v>265</v>
      </c>
      <c r="G4042" s="110">
        <v>543966</v>
      </c>
      <c r="H4042" s="113">
        <v>1087433</v>
      </c>
      <c r="I4042" s="108"/>
      <c r="J4042" s="109">
        <v>0.98449855654575125</v>
      </c>
      <c r="K4042" s="109">
        <v>0.90756426671919632</v>
      </c>
      <c r="L4042" s="159">
        <v>290</v>
      </c>
      <c r="M4042" s="109">
        <v>0.46899999999999997</v>
      </c>
      <c r="N4042" s="109">
        <v>0.1045</v>
      </c>
    </row>
    <row r="4043" spans="1:14">
      <c r="A4043" s="106" t="s">
        <v>144</v>
      </c>
      <c r="B4043" s="14" t="s">
        <v>78</v>
      </c>
      <c r="C4043" s="14" t="s">
        <v>198</v>
      </c>
      <c r="D4043" s="14">
        <v>2017</v>
      </c>
      <c r="E4043" s="14">
        <v>2017</v>
      </c>
      <c r="F4043" s="14" t="s">
        <v>265</v>
      </c>
      <c r="G4043" s="110">
        <v>11270</v>
      </c>
      <c r="H4043" s="113">
        <v>27348</v>
      </c>
      <c r="I4043" s="108"/>
      <c r="J4043" s="109">
        <v>0.99744897959183676</v>
      </c>
      <c r="K4043" s="109">
        <v>0.99583333333333335</v>
      </c>
      <c r="L4043" s="159">
        <v>81</v>
      </c>
      <c r="M4043" s="109">
        <v>0.29599999999999999</v>
      </c>
      <c r="N4043" s="109">
        <v>9.0300000000000005E-2</v>
      </c>
    </row>
    <row r="4044" spans="1:14">
      <c r="A4044" s="106" t="s">
        <v>145</v>
      </c>
      <c r="B4044" s="14" t="s">
        <v>78</v>
      </c>
      <c r="C4044" s="14" t="s">
        <v>198</v>
      </c>
      <c r="D4044" s="14">
        <v>2017</v>
      </c>
      <c r="E4044" s="14">
        <v>2017</v>
      </c>
      <c r="F4044" s="14" t="s">
        <v>265</v>
      </c>
      <c r="G4044" s="110">
        <v>5916</v>
      </c>
      <c r="H4044" s="113">
        <v>9809</v>
      </c>
      <c r="I4044" s="108"/>
      <c r="J4044" s="109">
        <v>0.9859154929577465</v>
      </c>
      <c r="K4044" s="109">
        <v>0.91847826086956519</v>
      </c>
      <c r="L4044" s="159">
        <v>81</v>
      </c>
      <c r="M4044" s="109">
        <v>0.29599999999999999</v>
      </c>
      <c r="N4044" s="109">
        <v>9.0300000000000005E-2</v>
      </c>
    </row>
    <row r="4045" spans="1:14">
      <c r="A4045" s="106" t="s">
        <v>146</v>
      </c>
      <c r="B4045" s="14" t="s">
        <v>78</v>
      </c>
      <c r="C4045" s="14" t="s">
        <v>198</v>
      </c>
      <c r="D4045" s="14">
        <v>2017</v>
      </c>
      <c r="E4045" s="14">
        <v>2017</v>
      </c>
      <c r="F4045" s="14" t="s">
        <v>265</v>
      </c>
      <c r="G4045" s="110">
        <v>1031</v>
      </c>
      <c r="H4045" s="113">
        <v>1909</v>
      </c>
      <c r="I4045" s="108"/>
      <c r="J4045" s="109">
        <v>0.97777777777777775</v>
      </c>
      <c r="K4045" s="109">
        <v>0.88461538461538458</v>
      </c>
      <c r="L4045" s="159">
        <v>81</v>
      </c>
      <c r="M4045" s="109">
        <v>0.29599999999999999</v>
      </c>
      <c r="N4045" s="109">
        <v>9.0300000000000005E-2</v>
      </c>
    </row>
    <row r="4046" spans="1:14">
      <c r="A4046" s="106" t="s">
        <v>147</v>
      </c>
      <c r="B4046" s="14" t="s">
        <v>78</v>
      </c>
      <c r="C4046" s="14" t="s">
        <v>198</v>
      </c>
      <c r="D4046" s="14">
        <v>2017</v>
      </c>
      <c r="E4046" s="14">
        <v>2017</v>
      </c>
      <c r="F4046" s="14" t="s">
        <v>265</v>
      </c>
      <c r="G4046" s="110">
        <v>6307</v>
      </c>
      <c r="H4046" s="113">
        <v>11672</v>
      </c>
      <c r="I4046" s="108"/>
      <c r="J4046" s="109">
        <v>0.9578651685393258</v>
      </c>
      <c r="K4046" s="109">
        <v>0.94422310756972117</v>
      </c>
      <c r="L4046" s="159">
        <v>81</v>
      </c>
      <c r="M4046" s="109">
        <v>0.29599999999999999</v>
      </c>
      <c r="N4046" s="109">
        <v>9.0300000000000005E-2</v>
      </c>
    </row>
    <row r="4047" spans="1:14">
      <c r="A4047" s="106" t="s">
        <v>148</v>
      </c>
      <c r="B4047" s="14" t="s">
        <v>78</v>
      </c>
      <c r="C4047" s="14" t="s">
        <v>198</v>
      </c>
      <c r="D4047" s="14">
        <v>2017</v>
      </c>
      <c r="E4047" s="14">
        <v>2017</v>
      </c>
      <c r="F4047" s="14" t="s">
        <v>265</v>
      </c>
      <c r="G4047" s="110">
        <v>23272</v>
      </c>
      <c r="H4047" s="113">
        <v>53792</v>
      </c>
      <c r="I4047" s="108"/>
      <c r="J4047" s="109">
        <v>0.95561357702349869</v>
      </c>
      <c r="K4047" s="109">
        <v>0.97175141242937857</v>
      </c>
      <c r="L4047" s="159">
        <v>7</v>
      </c>
      <c r="M4047" s="30">
        <v>0</v>
      </c>
      <c r="N4047" s="109">
        <v>4.1500000000000002E-2</v>
      </c>
    </row>
    <row r="4048" spans="1:14">
      <c r="A4048" s="106" t="s">
        <v>149</v>
      </c>
      <c r="B4048" s="14" t="s">
        <v>78</v>
      </c>
      <c r="C4048" s="14" t="s">
        <v>198</v>
      </c>
      <c r="D4048" s="14">
        <v>2017</v>
      </c>
      <c r="E4048" s="14">
        <v>2017</v>
      </c>
      <c r="F4048" s="14" t="s">
        <v>265</v>
      </c>
      <c r="G4048" s="110">
        <v>541</v>
      </c>
      <c r="H4048" s="113">
        <v>1160</v>
      </c>
      <c r="I4048" s="108"/>
      <c r="J4048" s="109">
        <v>1</v>
      </c>
      <c r="K4048" s="109">
        <v>0.9375</v>
      </c>
      <c r="L4048" s="159">
        <v>81</v>
      </c>
      <c r="M4048" s="109">
        <v>0.29599999999999999</v>
      </c>
      <c r="N4048" s="109">
        <v>9.0300000000000005E-2</v>
      </c>
    </row>
    <row r="4049" spans="1:14">
      <c r="A4049" s="106" t="s">
        <v>150</v>
      </c>
      <c r="B4049" s="14" t="s">
        <v>78</v>
      </c>
      <c r="C4049" s="14" t="s">
        <v>198</v>
      </c>
      <c r="D4049" s="14">
        <v>2017</v>
      </c>
      <c r="E4049" s="14">
        <v>2017</v>
      </c>
      <c r="F4049" s="14" t="s">
        <v>265</v>
      </c>
      <c r="G4049" s="110">
        <v>398</v>
      </c>
      <c r="H4049" s="113">
        <v>693</v>
      </c>
      <c r="I4049" s="108"/>
      <c r="J4049" s="109">
        <v>1</v>
      </c>
      <c r="K4049" s="109">
        <v>0.95</v>
      </c>
      <c r="L4049" s="159">
        <v>81</v>
      </c>
      <c r="M4049" s="109">
        <v>0.29599999999999999</v>
      </c>
      <c r="N4049" s="109">
        <v>9.0300000000000005E-2</v>
      </c>
    </row>
    <row r="4050" spans="1:14">
      <c r="A4050" s="106" t="s">
        <v>151</v>
      </c>
      <c r="B4050" s="14" t="s">
        <v>78</v>
      </c>
      <c r="C4050" s="14" t="s">
        <v>198</v>
      </c>
      <c r="D4050" s="14">
        <v>2017</v>
      </c>
      <c r="E4050" s="14">
        <v>2017</v>
      </c>
      <c r="F4050" s="14" t="s">
        <v>265</v>
      </c>
      <c r="G4050" s="110">
        <v>19447</v>
      </c>
      <c r="H4050" s="113">
        <v>42443</v>
      </c>
      <c r="I4050" s="108"/>
      <c r="J4050" s="109">
        <v>0.99267015706806283</v>
      </c>
      <c r="K4050" s="109">
        <v>0.94117647058823528</v>
      </c>
      <c r="L4050" s="159">
        <v>7</v>
      </c>
      <c r="M4050" s="109">
        <v>0.28599999999999998</v>
      </c>
      <c r="N4050" s="109">
        <v>3.5700000000000003E-2</v>
      </c>
    </row>
    <row r="4051" spans="1:14">
      <c r="A4051" s="106" t="s">
        <v>152</v>
      </c>
      <c r="B4051" s="14" t="s">
        <v>78</v>
      </c>
      <c r="C4051" s="14" t="s">
        <v>198</v>
      </c>
      <c r="D4051" s="14">
        <v>2017</v>
      </c>
      <c r="E4051" s="14">
        <v>2017</v>
      </c>
      <c r="F4051" s="14" t="s">
        <v>265</v>
      </c>
      <c r="G4051" s="110">
        <v>3067</v>
      </c>
      <c r="H4051" s="113">
        <v>6080</v>
      </c>
      <c r="I4051" s="108"/>
      <c r="J4051" s="109">
        <v>0.90833333333333333</v>
      </c>
      <c r="K4051" s="109">
        <v>0.92500000000000004</v>
      </c>
      <c r="L4051" s="159">
        <v>81</v>
      </c>
      <c r="M4051" s="109">
        <v>0.29599999999999999</v>
      </c>
      <c r="N4051" s="109">
        <v>9.0300000000000005E-2</v>
      </c>
    </row>
    <row r="4052" spans="1:14">
      <c r="A4052" s="106" t="s">
        <v>153</v>
      </c>
      <c r="B4052" s="14" t="s">
        <v>78</v>
      </c>
      <c r="C4052" s="14" t="s">
        <v>198</v>
      </c>
      <c r="D4052" s="14">
        <v>2017</v>
      </c>
      <c r="E4052" s="14">
        <v>2017</v>
      </c>
      <c r="F4052" s="14" t="s">
        <v>265</v>
      </c>
      <c r="G4052" s="110">
        <v>4105</v>
      </c>
      <c r="H4052" s="113">
        <v>7090</v>
      </c>
      <c r="I4052" s="108"/>
      <c r="J4052" s="109">
        <v>0.93243243243243246</v>
      </c>
      <c r="K4052" s="109">
        <v>0.82634730538922152</v>
      </c>
      <c r="L4052" s="159">
        <v>81</v>
      </c>
      <c r="M4052" s="109">
        <v>0.29599999999999999</v>
      </c>
      <c r="N4052" s="109">
        <v>9.0300000000000005E-2</v>
      </c>
    </row>
    <row r="4053" spans="1:14">
      <c r="A4053" s="106" t="s">
        <v>154</v>
      </c>
      <c r="B4053" s="14" t="s">
        <v>77</v>
      </c>
      <c r="C4053" s="14" t="s">
        <v>198</v>
      </c>
      <c r="D4053" s="14">
        <v>2017</v>
      </c>
      <c r="E4053" s="14">
        <v>2017</v>
      </c>
      <c r="F4053" s="14" t="s">
        <v>265</v>
      </c>
      <c r="G4053" s="110">
        <v>115089</v>
      </c>
      <c r="H4053" s="113">
        <v>232951</v>
      </c>
      <c r="I4053" s="108"/>
      <c r="J4053" s="109">
        <v>0.99363192528125666</v>
      </c>
      <c r="K4053" s="109">
        <v>0.99772001823985412</v>
      </c>
      <c r="L4053" s="159">
        <v>44</v>
      </c>
      <c r="M4053" s="109">
        <v>0.36399999999999999</v>
      </c>
      <c r="N4053" s="109">
        <v>6.5699999999999995E-2</v>
      </c>
    </row>
    <row r="4054" spans="1:14">
      <c r="A4054" s="106" t="s">
        <v>155</v>
      </c>
      <c r="B4054" s="14" t="s">
        <v>77</v>
      </c>
      <c r="C4054" s="14" t="s">
        <v>198</v>
      </c>
      <c r="D4054" s="14">
        <v>2017</v>
      </c>
      <c r="E4054" s="14">
        <v>2017</v>
      </c>
      <c r="F4054" s="14" t="s">
        <v>265</v>
      </c>
      <c r="G4054" s="110">
        <v>8670</v>
      </c>
      <c r="H4054" s="113">
        <v>16179</v>
      </c>
      <c r="I4054" s="108"/>
      <c r="J4054" s="109">
        <v>1</v>
      </c>
      <c r="K4054" s="109">
        <v>0.88584474885844744</v>
      </c>
      <c r="L4054" s="159">
        <v>81</v>
      </c>
      <c r="M4054" s="109">
        <v>0.29599999999999999</v>
      </c>
      <c r="N4054" s="109">
        <v>9.0300000000000005E-2</v>
      </c>
    </row>
    <row r="4055" spans="1:14">
      <c r="A4055" s="106" t="s">
        <v>156</v>
      </c>
      <c r="B4055" s="14" t="s">
        <v>78</v>
      </c>
      <c r="C4055" s="14" t="s">
        <v>198</v>
      </c>
      <c r="D4055" s="14">
        <v>2017</v>
      </c>
      <c r="E4055" s="14">
        <v>2017</v>
      </c>
      <c r="F4055" s="14" t="s">
        <v>265</v>
      </c>
      <c r="G4055" s="110">
        <v>1097</v>
      </c>
      <c r="H4055" s="113">
        <v>2007</v>
      </c>
      <c r="I4055" s="108"/>
      <c r="J4055" s="109">
        <v>0.96842105263157896</v>
      </c>
      <c r="K4055" s="109">
        <v>0.9242424242424242</v>
      </c>
      <c r="L4055" s="159">
        <v>81</v>
      </c>
      <c r="M4055" s="109">
        <v>0.29599999999999999</v>
      </c>
      <c r="N4055" s="109">
        <v>9.0300000000000005E-2</v>
      </c>
    </row>
    <row r="4056" spans="1:14">
      <c r="A4056" s="106" t="s">
        <v>157</v>
      </c>
      <c r="B4056" s="14" t="s">
        <v>78</v>
      </c>
      <c r="C4056" s="14" t="s">
        <v>198</v>
      </c>
      <c r="D4056" s="14">
        <v>2017</v>
      </c>
      <c r="E4056" s="14">
        <v>2017</v>
      </c>
      <c r="F4056" s="14" t="s">
        <v>265</v>
      </c>
      <c r="G4056" s="110">
        <v>122740</v>
      </c>
      <c r="H4056" s="113">
        <v>271114</v>
      </c>
      <c r="I4056" s="108"/>
      <c r="J4056" s="109">
        <v>0.99532289980212263</v>
      </c>
      <c r="K4056" s="109">
        <v>0.91362467866323904</v>
      </c>
      <c r="L4056" s="159">
        <v>36</v>
      </c>
      <c r="M4056" s="109">
        <v>0.30599999999999999</v>
      </c>
      <c r="N4056" s="109">
        <v>4.3499999999999997E-2</v>
      </c>
    </row>
    <row r="4057" spans="1:14">
      <c r="A4057" s="106" t="s">
        <v>158</v>
      </c>
      <c r="B4057" s="14" t="s">
        <v>77</v>
      </c>
      <c r="C4057" s="14" t="s">
        <v>198</v>
      </c>
      <c r="D4057" s="14">
        <v>2017</v>
      </c>
      <c r="E4057" s="14">
        <v>2017</v>
      </c>
      <c r="F4057" s="14" t="s">
        <v>265</v>
      </c>
      <c r="G4057" s="110">
        <v>98208</v>
      </c>
      <c r="H4057" s="113">
        <v>205556</v>
      </c>
      <c r="I4057" s="108"/>
      <c r="J4057" s="109">
        <v>0.99407979407979408</v>
      </c>
      <c r="K4057" s="109">
        <v>0.99211770888071471</v>
      </c>
      <c r="L4057" s="159">
        <v>40</v>
      </c>
      <c r="M4057" s="109">
        <v>0.47499999999999998</v>
      </c>
      <c r="N4057" s="109">
        <v>3.8600000000000002E-2</v>
      </c>
    </row>
    <row r="4058" spans="1:14">
      <c r="A4058" s="106" t="s">
        <v>159</v>
      </c>
      <c r="B4058" s="14" t="s">
        <v>78</v>
      </c>
      <c r="C4058" s="14" t="s">
        <v>198</v>
      </c>
      <c r="D4058" s="14">
        <v>2017</v>
      </c>
      <c r="E4058" s="14">
        <v>2017</v>
      </c>
      <c r="F4058" s="14" t="s">
        <v>265</v>
      </c>
      <c r="G4058" s="110">
        <v>2121</v>
      </c>
      <c r="H4058" s="113">
        <v>4700</v>
      </c>
      <c r="I4058" s="108"/>
      <c r="J4058" s="109">
        <v>0.978494623655914</v>
      </c>
      <c r="K4058" s="109">
        <v>0.95522388059701491</v>
      </c>
      <c r="L4058" s="159">
        <v>81</v>
      </c>
      <c r="M4058" s="109">
        <v>0.29599999999999999</v>
      </c>
      <c r="N4058" s="109">
        <v>9.0300000000000005E-2</v>
      </c>
    </row>
    <row r="4059" spans="1:14">
      <c r="A4059" s="106" t="s">
        <v>160</v>
      </c>
      <c r="B4059" s="14" t="s">
        <v>78</v>
      </c>
      <c r="C4059" s="14" t="s">
        <v>198</v>
      </c>
      <c r="D4059" s="14">
        <v>2017</v>
      </c>
      <c r="E4059" s="14">
        <v>2017</v>
      </c>
      <c r="F4059" s="14" t="s">
        <v>265</v>
      </c>
      <c r="G4059" s="110">
        <v>165648</v>
      </c>
      <c r="H4059" s="113">
        <v>361295</v>
      </c>
      <c r="I4059" s="108"/>
      <c r="J4059" s="109">
        <v>0.9892054725743693</v>
      </c>
      <c r="K4059" s="109">
        <v>0.93710691823899372</v>
      </c>
      <c r="L4059" s="159">
        <v>48</v>
      </c>
      <c r="M4059" s="109">
        <v>0.25</v>
      </c>
      <c r="N4059" s="109">
        <v>3.78E-2</v>
      </c>
    </row>
    <row r="4060" spans="1:14">
      <c r="A4060" s="106" t="s">
        <v>161</v>
      </c>
      <c r="B4060" s="14" t="s">
        <v>77</v>
      </c>
      <c r="C4060" s="14" t="s">
        <v>198</v>
      </c>
      <c r="D4060" s="14">
        <v>2017</v>
      </c>
      <c r="E4060" s="14">
        <v>2017</v>
      </c>
      <c r="F4060" s="14" t="s">
        <v>265</v>
      </c>
      <c r="G4060" s="110">
        <v>133646</v>
      </c>
      <c r="H4060" s="113">
        <v>268127</v>
      </c>
      <c r="I4060" s="108"/>
      <c r="J4060" s="109">
        <v>0.97422844416162901</v>
      </c>
      <c r="K4060" s="109">
        <v>0.95580808080808077</v>
      </c>
      <c r="L4060" s="159">
        <v>62</v>
      </c>
      <c r="M4060" s="109">
        <v>0.435</v>
      </c>
      <c r="N4060" s="109">
        <v>2.8899999999999999E-2</v>
      </c>
    </row>
    <row r="4061" spans="1:14">
      <c r="A4061" s="106" t="s">
        <v>162</v>
      </c>
      <c r="B4061" s="14" t="s">
        <v>77</v>
      </c>
      <c r="C4061" s="14" t="s">
        <v>198</v>
      </c>
      <c r="D4061" s="14">
        <v>2017</v>
      </c>
      <c r="E4061" s="14">
        <v>2017</v>
      </c>
      <c r="F4061" s="14" t="s">
        <v>265</v>
      </c>
      <c r="G4061" s="110">
        <v>33923</v>
      </c>
      <c r="H4061" s="113">
        <v>50864</v>
      </c>
      <c r="I4061" s="108"/>
      <c r="J4061" s="109">
        <v>0.98502139800285304</v>
      </c>
      <c r="K4061" s="109">
        <v>0.86911764705882355</v>
      </c>
      <c r="L4061" s="159">
        <v>11</v>
      </c>
      <c r="M4061" s="109">
        <v>0.36399999999999999</v>
      </c>
      <c r="N4061" s="109">
        <v>7.9299999999999995E-2</v>
      </c>
    </row>
    <row r="4062" spans="1:14">
      <c r="A4062" s="106" t="s">
        <v>163</v>
      </c>
      <c r="B4062" s="14" t="s">
        <v>78</v>
      </c>
      <c r="C4062" s="14" t="s">
        <v>198</v>
      </c>
      <c r="D4062" s="14">
        <v>2017</v>
      </c>
      <c r="E4062" s="14">
        <v>2017</v>
      </c>
      <c r="F4062" s="14" t="s">
        <v>265</v>
      </c>
      <c r="G4062" s="110">
        <v>47781</v>
      </c>
      <c r="H4062" s="113">
        <v>105787</v>
      </c>
      <c r="I4062" s="108"/>
      <c r="J4062" s="109">
        <v>0.97793326157158234</v>
      </c>
      <c r="K4062" s="109">
        <v>0.91082251082251087</v>
      </c>
      <c r="L4062" s="159">
        <v>14</v>
      </c>
      <c r="M4062" s="109">
        <v>7.0999999999999994E-2</v>
      </c>
      <c r="N4062" s="109">
        <v>3.7400000000000003E-2</v>
      </c>
    </row>
    <row r="4063" spans="1:14">
      <c r="A4063" s="106" t="s">
        <v>164</v>
      </c>
      <c r="B4063" s="14" t="s">
        <v>77</v>
      </c>
      <c r="C4063" s="14" t="s">
        <v>198</v>
      </c>
      <c r="D4063" s="14">
        <v>2017</v>
      </c>
      <c r="E4063" s="14">
        <v>2017</v>
      </c>
      <c r="F4063" s="14" t="s">
        <v>265</v>
      </c>
      <c r="G4063" s="110">
        <v>9396</v>
      </c>
      <c r="H4063" s="113">
        <v>16600</v>
      </c>
      <c r="I4063" s="108"/>
      <c r="J4063" s="109">
        <v>0.98399999999999999</v>
      </c>
      <c r="K4063" s="109">
        <v>0.96595744680851059</v>
      </c>
      <c r="L4063" s="159">
        <v>81</v>
      </c>
      <c r="M4063" s="109">
        <v>0.29599999999999999</v>
      </c>
      <c r="N4063" s="109">
        <v>9.0300000000000005E-2</v>
      </c>
    </row>
    <row r="4064" spans="1:14">
      <c r="A4064" s="106" t="s">
        <v>165</v>
      </c>
      <c r="B4064" s="14" t="s">
        <v>77</v>
      </c>
      <c r="C4064" s="14" t="s">
        <v>198</v>
      </c>
      <c r="D4064" s="14">
        <v>2017</v>
      </c>
      <c r="E4064" s="14">
        <v>2017</v>
      </c>
      <c r="F4064" s="14" t="s">
        <v>265</v>
      </c>
      <c r="G4064" s="110">
        <v>13291</v>
      </c>
      <c r="H4064" s="113">
        <v>25375</v>
      </c>
      <c r="I4064" s="108"/>
      <c r="J4064" s="109">
        <v>0.97687861271676302</v>
      </c>
      <c r="K4064" s="109">
        <v>0.87687687687687688</v>
      </c>
      <c r="L4064" s="159">
        <v>81</v>
      </c>
      <c r="M4064" s="109">
        <v>0.29599999999999999</v>
      </c>
      <c r="N4064" s="109">
        <v>9.0300000000000005E-2</v>
      </c>
    </row>
    <row r="4065" spans="1:14">
      <c r="A4065" s="106" t="s">
        <v>166</v>
      </c>
      <c r="B4065" s="14" t="s">
        <v>77</v>
      </c>
      <c r="C4065" s="14" t="s">
        <v>198</v>
      </c>
      <c r="D4065" s="14">
        <v>2017</v>
      </c>
      <c r="E4065" s="14">
        <v>2017</v>
      </c>
      <c r="F4065" s="14" t="s">
        <v>265</v>
      </c>
      <c r="G4065" s="110">
        <v>18061</v>
      </c>
      <c r="H4065" s="113">
        <v>36432</v>
      </c>
      <c r="I4065" s="108"/>
      <c r="J4065" s="109">
        <v>0.95864262990455995</v>
      </c>
      <c r="K4065" s="109">
        <v>0.91772151898734178</v>
      </c>
      <c r="L4065" s="159">
        <v>81</v>
      </c>
      <c r="M4065" s="109">
        <v>0.29599999999999999</v>
      </c>
      <c r="N4065" s="109">
        <v>9.0300000000000005E-2</v>
      </c>
    </row>
    <row r="4066" spans="1:14">
      <c r="A4066" s="106" t="s">
        <v>167</v>
      </c>
      <c r="B4066" s="14" t="s">
        <v>77</v>
      </c>
      <c r="C4066" s="14" t="s">
        <v>198</v>
      </c>
      <c r="D4066" s="14">
        <v>2017</v>
      </c>
      <c r="E4066" s="14">
        <v>2017</v>
      </c>
      <c r="F4066" s="14" t="s">
        <v>265</v>
      </c>
      <c r="G4066" s="110">
        <v>46440</v>
      </c>
      <c r="H4066" s="113">
        <v>90030</v>
      </c>
      <c r="I4066" s="108"/>
      <c r="J4066" s="109">
        <v>0.98598654708520184</v>
      </c>
      <c r="K4066" s="109">
        <v>0.97938144329896903</v>
      </c>
      <c r="L4066" s="159">
        <v>16</v>
      </c>
      <c r="M4066" s="109">
        <v>0.375</v>
      </c>
      <c r="N4066" s="109">
        <v>5.11E-2</v>
      </c>
    </row>
    <row r="4067" spans="1:14">
      <c r="A4067" s="106" t="s">
        <v>168</v>
      </c>
      <c r="B4067" s="14" t="s">
        <v>77</v>
      </c>
      <c r="C4067" s="14" t="s">
        <v>198</v>
      </c>
      <c r="D4067" s="14">
        <v>2017</v>
      </c>
      <c r="E4067" s="14">
        <v>2017</v>
      </c>
      <c r="F4067" s="14" t="s">
        <v>265</v>
      </c>
      <c r="G4067" s="110">
        <v>14023</v>
      </c>
      <c r="H4067" s="113">
        <v>24863</v>
      </c>
      <c r="I4067" s="108"/>
      <c r="J4067" s="109">
        <v>0.982421875</v>
      </c>
      <c r="K4067" s="109">
        <v>0.97674418604651159</v>
      </c>
      <c r="L4067" s="159">
        <v>81</v>
      </c>
      <c r="M4067" s="109">
        <v>0.29599999999999999</v>
      </c>
      <c r="N4067" s="109">
        <v>9.0300000000000005E-2</v>
      </c>
    </row>
    <row r="4068" spans="1:14">
      <c r="A4068" s="106" t="s">
        <v>169</v>
      </c>
      <c r="B4068" s="14" t="s">
        <v>78</v>
      </c>
      <c r="C4068" s="14" t="s">
        <v>198</v>
      </c>
      <c r="D4068" s="14">
        <v>2017</v>
      </c>
      <c r="E4068" s="14">
        <v>2017</v>
      </c>
      <c r="F4068" s="14" t="s">
        <v>265</v>
      </c>
      <c r="G4068" s="110">
        <v>12332</v>
      </c>
      <c r="H4068" s="113">
        <v>23186</v>
      </c>
      <c r="I4068" s="108"/>
      <c r="J4068" s="109">
        <v>0.94921190893169882</v>
      </c>
      <c r="K4068" s="109">
        <v>0.95781637717121593</v>
      </c>
      <c r="L4068" s="159">
        <v>81</v>
      </c>
      <c r="M4068" s="109">
        <v>0.29599999999999999</v>
      </c>
      <c r="N4068" s="109">
        <v>9.0300000000000005E-2</v>
      </c>
    </row>
    <row r="4069" spans="1:14">
      <c r="A4069" s="106" t="s">
        <v>170</v>
      </c>
      <c r="B4069" s="14" t="s">
        <v>78</v>
      </c>
      <c r="C4069" s="14" t="s">
        <v>198</v>
      </c>
      <c r="D4069" s="14">
        <v>2017</v>
      </c>
      <c r="E4069" s="14">
        <v>2017</v>
      </c>
      <c r="F4069" s="14" t="s">
        <v>265</v>
      </c>
      <c r="G4069" s="110">
        <v>154</v>
      </c>
      <c r="H4069" s="113">
        <v>259</v>
      </c>
      <c r="I4069" s="108"/>
      <c r="J4069" s="109">
        <v>1</v>
      </c>
      <c r="K4069" s="109">
        <v>1</v>
      </c>
      <c r="L4069" s="159">
        <v>81</v>
      </c>
      <c r="M4069" s="109">
        <v>0.29599999999999999</v>
      </c>
      <c r="N4069" s="109">
        <v>9.0300000000000005E-2</v>
      </c>
    </row>
    <row r="4070" spans="1:14">
      <c r="A4070" s="106" t="s">
        <v>171</v>
      </c>
      <c r="B4070" s="14" t="s">
        <v>78</v>
      </c>
      <c r="C4070" s="14" t="s">
        <v>198</v>
      </c>
      <c r="D4070" s="14">
        <v>2017</v>
      </c>
      <c r="E4070" s="14">
        <v>2017</v>
      </c>
      <c r="F4070" s="14" t="s">
        <v>265</v>
      </c>
      <c r="G4070" s="110">
        <v>3050</v>
      </c>
      <c r="H4070" s="113">
        <v>6256</v>
      </c>
      <c r="I4070" s="108"/>
      <c r="J4070" s="109">
        <v>0.97619047619047616</v>
      </c>
      <c r="K4070" s="109">
        <v>0.86315789473684212</v>
      </c>
      <c r="L4070" s="159">
        <v>81</v>
      </c>
      <c r="M4070" s="109">
        <v>0.29599999999999999</v>
      </c>
      <c r="N4070" s="109">
        <v>9.0300000000000005E-2</v>
      </c>
    </row>
    <row r="4071" spans="1:14">
      <c r="A4071" s="106" t="s">
        <v>172</v>
      </c>
      <c r="B4071" s="14" t="s">
        <v>77</v>
      </c>
      <c r="C4071" s="14" t="s">
        <v>198</v>
      </c>
      <c r="D4071" s="14">
        <v>2017</v>
      </c>
      <c r="E4071" s="14">
        <v>2017</v>
      </c>
      <c r="F4071" s="14" t="s">
        <v>265</v>
      </c>
      <c r="G4071" s="110">
        <v>20949</v>
      </c>
      <c r="H4071" s="113">
        <v>39407</v>
      </c>
      <c r="I4071" s="108"/>
      <c r="J4071" s="109">
        <v>0.97636815920398012</v>
      </c>
      <c r="K4071" s="109">
        <v>0.9688249400479616</v>
      </c>
      <c r="L4071" s="159">
        <v>8</v>
      </c>
      <c r="M4071" s="109">
        <v>0.5</v>
      </c>
      <c r="N4071" s="109">
        <v>5.7999999999999996E-3</v>
      </c>
    </row>
    <row r="4072" spans="1:14">
      <c r="A4072" s="106" t="s">
        <v>173</v>
      </c>
      <c r="B4072" s="14" t="s">
        <v>77</v>
      </c>
      <c r="C4072" s="14" t="s">
        <v>198</v>
      </c>
      <c r="D4072" s="14">
        <v>2017</v>
      </c>
      <c r="E4072" s="14">
        <v>2017</v>
      </c>
      <c r="F4072" s="14" t="s">
        <v>265</v>
      </c>
      <c r="G4072" s="110">
        <v>17167</v>
      </c>
      <c r="H4072" s="113">
        <v>30001</v>
      </c>
      <c r="I4072" s="108"/>
      <c r="J4072" s="109">
        <v>0.98064516129032253</v>
      </c>
      <c r="K4072" s="109">
        <v>0.87267904509283822</v>
      </c>
      <c r="L4072" s="159">
        <v>81</v>
      </c>
      <c r="M4072" s="109">
        <v>0.29599999999999999</v>
      </c>
      <c r="N4072" s="109">
        <v>9.0300000000000005E-2</v>
      </c>
    </row>
    <row r="4073" spans="1:14">
      <c r="A4073" s="106" t="s">
        <v>174</v>
      </c>
      <c r="B4073" s="14" t="s">
        <v>78</v>
      </c>
      <c r="C4073" s="14" t="s">
        <v>198</v>
      </c>
      <c r="D4073" s="14">
        <v>2017</v>
      </c>
      <c r="E4073" s="14">
        <v>2017</v>
      </c>
      <c r="F4073" s="14" t="s">
        <v>265</v>
      </c>
      <c r="G4073" s="110">
        <v>39239</v>
      </c>
      <c r="H4073" s="113">
        <v>81885</v>
      </c>
      <c r="I4073" s="108"/>
      <c r="J4073" s="109">
        <v>0.97997711670480547</v>
      </c>
      <c r="K4073" s="109">
        <v>0.93644067796610164</v>
      </c>
      <c r="L4073" s="159">
        <v>10</v>
      </c>
      <c r="M4073" s="109">
        <v>0.6</v>
      </c>
      <c r="N4073" s="109">
        <v>4.2700000000000002E-2</v>
      </c>
    </row>
    <row r="4074" spans="1:14">
      <c r="A4074" s="106" t="s">
        <v>175</v>
      </c>
      <c r="B4074" s="14" t="s">
        <v>78</v>
      </c>
      <c r="C4074" s="14" t="s">
        <v>198</v>
      </c>
      <c r="D4074" s="14">
        <v>2017</v>
      </c>
      <c r="E4074" s="14">
        <v>2017</v>
      </c>
      <c r="F4074" s="14" t="s">
        <v>265</v>
      </c>
      <c r="G4074" s="110">
        <v>5361</v>
      </c>
      <c r="H4074" s="113">
        <v>12250</v>
      </c>
      <c r="I4074" s="108"/>
      <c r="J4074" s="109">
        <v>0.97101449275362317</v>
      </c>
      <c r="K4074" s="109">
        <v>0.92814371257485029</v>
      </c>
      <c r="L4074" s="159">
        <v>81</v>
      </c>
      <c r="M4074" s="109">
        <v>0.29599999999999999</v>
      </c>
      <c r="N4074" s="109">
        <v>9.0300000000000005E-2</v>
      </c>
    </row>
    <row r="4075" spans="1:14">
      <c r="A4075" s="106" t="s">
        <v>176</v>
      </c>
      <c r="B4075" s="14" t="s">
        <v>78</v>
      </c>
      <c r="C4075" s="14" t="s">
        <v>198</v>
      </c>
      <c r="D4075" s="14">
        <v>2017</v>
      </c>
      <c r="E4075" s="14">
        <v>2017</v>
      </c>
      <c r="F4075" s="14" t="s">
        <v>265</v>
      </c>
      <c r="G4075" s="110">
        <v>4246</v>
      </c>
      <c r="H4075" s="113">
        <v>8963</v>
      </c>
      <c r="I4075" s="108"/>
      <c r="J4075" s="109">
        <v>0.96153846153846156</v>
      </c>
      <c r="K4075" s="109">
        <v>0.94696969696969702</v>
      </c>
      <c r="L4075" s="159">
        <v>81</v>
      </c>
      <c r="M4075" s="109">
        <v>0.29599999999999999</v>
      </c>
      <c r="N4075" s="109">
        <v>9.0300000000000005E-2</v>
      </c>
    </row>
    <row r="4076" spans="1:14">
      <c r="A4076" s="106" t="s">
        <v>177</v>
      </c>
      <c r="B4076" s="14" t="s">
        <v>78</v>
      </c>
      <c r="C4076" s="14" t="s">
        <v>198</v>
      </c>
      <c r="D4076" s="14">
        <v>2017</v>
      </c>
      <c r="E4076" s="14">
        <v>2017</v>
      </c>
      <c r="F4076" s="14" t="s">
        <v>265</v>
      </c>
      <c r="G4076" s="110">
        <v>971</v>
      </c>
      <c r="H4076" s="113">
        <v>1691</v>
      </c>
      <c r="I4076" s="108"/>
      <c r="J4076" s="109">
        <v>0.98181818181818181</v>
      </c>
      <c r="K4076" s="109">
        <v>0.71739130434782605</v>
      </c>
      <c r="L4076" s="159">
        <v>81</v>
      </c>
      <c r="M4076" s="109">
        <v>0.29599999999999999</v>
      </c>
      <c r="N4076" s="109">
        <v>9.0300000000000005E-2</v>
      </c>
    </row>
    <row r="4077" spans="1:14">
      <c r="A4077" s="106" t="s">
        <v>178</v>
      </c>
      <c r="B4077" s="14" t="s">
        <v>77</v>
      </c>
      <c r="C4077" s="14" t="s">
        <v>198</v>
      </c>
      <c r="D4077" s="14">
        <v>2017</v>
      </c>
      <c r="E4077" s="14">
        <v>2017</v>
      </c>
      <c r="F4077" s="14" t="s">
        <v>265</v>
      </c>
      <c r="G4077" s="110">
        <v>50655</v>
      </c>
      <c r="H4077" s="113">
        <v>117113</v>
      </c>
      <c r="I4077" s="108"/>
      <c r="J4077" s="109">
        <v>0.92569832402234642</v>
      </c>
      <c r="K4077" s="109">
        <v>0.84</v>
      </c>
      <c r="L4077" s="159">
        <v>16</v>
      </c>
      <c r="M4077" s="109">
        <v>0.438</v>
      </c>
      <c r="N4077" s="109">
        <v>4.2500000000000003E-2</v>
      </c>
    </row>
    <row r="4078" spans="1:14">
      <c r="A4078" s="106" t="s">
        <v>179</v>
      </c>
      <c r="B4078" s="14" t="s">
        <v>78</v>
      </c>
      <c r="C4078" s="14" t="s">
        <v>198</v>
      </c>
      <c r="D4078" s="14">
        <v>2017</v>
      </c>
      <c r="E4078" s="14">
        <v>2017</v>
      </c>
      <c r="F4078" s="14" t="s">
        <v>265</v>
      </c>
      <c r="G4078" s="110">
        <v>2734</v>
      </c>
      <c r="H4078" s="113">
        <v>4770</v>
      </c>
      <c r="I4078" s="108"/>
      <c r="J4078" s="109">
        <v>0.95774647887323949</v>
      </c>
      <c r="K4078" s="109">
        <v>0.97727272727272729</v>
      </c>
      <c r="L4078" s="159">
        <v>81</v>
      </c>
      <c r="M4078" s="109">
        <v>0.29599999999999999</v>
      </c>
      <c r="N4078" s="109">
        <v>9.0300000000000005E-2</v>
      </c>
    </row>
    <row r="4079" spans="1:14">
      <c r="A4079" s="106" t="s">
        <v>180</v>
      </c>
      <c r="B4079" s="14" t="s">
        <v>77</v>
      </c>
      <c r="C4079" s="14" t="s">
        <v>198</v>
      </c>
      <c r="D4079" s="14">
        <v>2017</v>
      </c>
      <c r="E4079" s="14">
        <v>2017</v>
      </c>
      <c r="F4079" s="14" t="s">
        <v>265</v>
      </c>
      <c r="G4079" s="110">
        <v>34650</v>
      </c>
      <c r="H4079" s="113">
        <v>68571</v>
      </c>
      <c r="I4079" s="108"/>
      <c r="J4079" s="109">
        <v>0.9838709677419355</v>
      </c>
      <c r="K4079" s="109">
        <v>0.9632183908045977</v>
      </c>
      <c r="L4079" s="159">
        <v>15</v>
      </c>
      <c r="M4079" s="109">
        <v>0.13300000000000001</v>
      </c>
      <c r="N4079" s="109">
        <v>5.7599999999999998E-2</v>
      </c>
    </row>
    <row r="4080" spans="1:14">
      <c r="A4080" s="106" t="s">
        <v>181</v>
      </c>
      <c r="B4080" s="14" t="s">
        <v>77</v>
      </c>
      <c r="C4080" s="14" t="s">
        <v>198</v>
      </c>
      <c r="D4080" s="14">
        <v>2017</v>
      </c>
      <c r="E4080" s="14">
        <v>2017</v>
      </c>
      <c r="F4080" s="14" t="s">
        <v>265</v>
      </c>
      <c r="G4080" s="110">
        <v>9726</v>
      </c>
      <c r="H4080" s="113">
        <v>18467</v>
      </c>
      <c r="I4080" s="108"/>
      <c r="J4080" s="109">
        <v>0.92307692307692313</v>
      </c>
      <c r="K4080" s="109">
        <v>0.94716981132075473</v>
      </c>
      <c r="L4080" s="159">
        <v>81</v>
      </c>
      <c r="M4080" s="109">
        <v>0.29599999999999999</v>
      </c>
      <c r="N4080" s="109">
        <v>9.0300000000000005E-2</v>
      </c>
    </row>
    <row r="4081" spans="1:14">
      <c r="A4081" s="106" t="s">
        <v>182</v>
      </c>
      <c r="B4081" s="14" t="s">
        <v>78</v>
      </c>
      <c r="C4081" s="14" t="s">
        <v>198</v>
      </c>
      <c r="D4081" s="14">
        <v>2017</v>
      </c>
      <c r="E4081" s="14">
        <v>2017</v>
      </c>
      <c r="F4081" s="14" t="s">
        <v>265</v>
      </c>
      <c r="G4081" s="110">
        <v>6002</v>
      </c>
      <c r="H4081" s="113">
        <v>13022</v>
      </c>
      <c r="I4081" s="108"/>
      <c r="J4081" s="109">
        <v>0.98648648648648651</v>
      </c>
      <c r="K4081" s="109">
        <v>0.98222222222222222</v>
      </c>
      <c r="L4081" s="159">
        <v>81</v>
      </c>
      <c r="M4081" s="109">
        <v>0.29599999999999999</v>
      </c>
      <c r="N4081" s="109">
        <v>9.0300000000000005E-2</v>
      </c>
    </row>
    <row r="4082" spans="1:14">
      <c r="A4082" s="56" t="s">
        <v>183</v>
      </c>
      <c r="B4082" s="14" t="s">
        <v>66</v>
      </c>
      <c r="C4082" s="14" t="s">
        <v>65</v>
      </c>
      <c r="D4082" s="14">
        <v>2017</v>
      </c>
      <c r="E4082" s="14">
        <v>2018</v>
      </c>
      <c r="F4082" s="14" t="s">
        <v>265</v>
      </c>
      <c r="G4082" s="111">
        <v>1992771</v>
      </c>
      <c r="H4082" s="114">
        <v>4089272</v>
      </c>
      <c r="I4082" s="108"/>
      <c r="J4082" s="109">
        <v>0.97983968399046084</v>
      </c>
      <c r="K4082" s="109">
        <v>0.92775324069086862</v>
      </c>
      <c r="L4082" s="159">
        <v>56</v>
      </c>
      <c r="M4082" s="109">
        <v>0.375</v>
      </c>
      <c r="N4082" s="109">
        <v>0.1077</v>
      </c>
    </row>
    <row r="4083" spans="1:14">
      <c r="A4083" s="56" t="s">
        <v>184</v>
      </c>
      <c r="B4083" s="14" t="s">
        <v>77</v>
      </c>
      <c r="C4083" s="14" t="s">
        <v>65</v>
      </c>
      <c r="D4083" s="14">
        <v>2017</v>
      </c>
      <c r="E4083" s="14">
        <v>2018</v>
      </c>
      <c r="F4083" s="14" t="s">
        <v>265</v>
      </c>
      <c r="G4083" s="111">
        <v>57502</v>
      </c>
      <c r="H4083" s="114">
        <v>107669</v>
      </c>
      <c r="I4083" s="108"/>
      <c r="J4083" s="30" t="s">
        <v>66</v>
      </c>
      <c r="K4083" s="30" t="s">
        <v>66</v>
      </c>
      <c r="L4083" s="159">
        <v>1</v>
      </c>
      <c r="M4083" s="109">
        <v>1</v>
      </c>
      <c r="N4083" s="109">
        <v>7.7999999999999996E-3</v>
      </c>
    </row>
    <row r="4084" spans="1:14">
      <c r="A4084" s="56" t="s">
        <v>185</v>
      </c>
      <c r="B4084" s="14" t="s">
        <v>78</v>
      </c>
      <c r="C4084" s="14" t="s">
        <v>65</v>
      </c>
      <c r="D4084" s="14">
        <v>2017</v>
      </c>
      <c r="E4084" s="14">
        <v>2018</v>
      </c>
      <c r="F4084" s="14" t="s">
        <v>265</v>
      </c>
      <c r="G4084" s="111">
        <v>79</v>
      </c>
      <c r="H4084" s="114">
        <v>144</v>
      </c>
      <c r="I4084" s="108"/>
      <c r="J4084" s="109">
        <v>1</v>
      </c>
      <c r="K4084" s="30" t="s">
        <v>66</v>
      </c>
      <c r="L4084" s="159">
        <v>3</v>
      </c>
      <c r="M4084" s="109">
        <v>0.66700000000000004</v>
      </c>
      <c r="N4084" s="109">
        <v>0.40620000000000001</v>
      </c>
    </row>
    <row r="4085" spans="1:14">
      <c r="A4085" s="56" t="s">
        <v>186</v>
      </c>
      <c r="B4085" s="14" t="s">
        <v>78</v>
      </c>
      <c r="C4085" s="14" t="s">
        <v>65</v>
      </c>
      <c r="D4085" s="14">
        <v>2017</v>
      </c>
      <c r="E4085" s="14">
        <v>2018</v>
      </c>
      <c r="F4085" s="14" t="s">
        <v>265</v>
      </c>
      <c r="G4085" s="111">
        <v>1648</v>
      </c>
      <c r="H4085" s="114">
        <v>3003</v>
      </c>
      <c r="I4085" s="108"/>
      <c r="J4085" s="109">
        <v>0.97333333333333338</v>
      </c>
      <c r="K4085" s="109">
        <v>1</v>
      </c>
      <c r="L4085" s="159">
        <v>3</v>
      </c>
      <c r="M4085" s="109">
        <v>0.66700000000000004</v>
      </c>
      <c r="N4085" s="109">
        <v>0.40620000000000001</v>
      </c>
    </row>
    <row r="4086" spans="1:14">
      <c r="A4086" s="56" t="s">
        <v>187</v>
      </c>
      <c r="B4086" s="14" t="s">
        <v>78</v>
      </c>
      <c r="C4086" s="14" t="s">
        <v>65</v>
      </c>
      <c r="D4086" s="14">
        <v>2017</v>
      </c>
      <c r="E4086" s="14">
        <v>2018</v>
      </c>
      <c r="F4086" s="14" t="s">
        <v>265</v>
      </c>
      <c r="G4086" s="111">
        <v>16660</v>
      </c>
      <c r="H4086" s="114">
        <v>30804</v>
      </c>
      <c r="I4086" s="108"/>
      <c r="J4086" s="109">
        <v>0.8738839285714286</v>
      </c>
      <c r="K4086" s="109">
        <v>0.92172523961661346</v>
      </c>
      <c r="L4086" s="159">
        <v>3</v>
      </c>
      <c r="M4086" s="109">
        <v>0.66700000000000004</v>
      </c>
      <c r="N4086" s="109">
        <v>0.40620000000000001</v>
      </c>
    </row>
    <row r="4087" spans="1:14">
      <c r="A4087" s="56" t="s">
        <v>188</v>
      </c>
      <c r="B4087" s="14" t="s">
        <v>78</v>
      </c>
      <c r="C4087" s="14" t="s">
        <v>65</v>
      </c>
      <c r="D4087" s="14">
        <v>2017</v>
      </c>
      <c r="E4087" s="14">
        <v>2018</v>
      </c>
      <c r="F4087" s="14" t="s">
        <v>265</v>
      </c>
      <c r="G4087" s="111">
        <v>2783</v>
      </c>
      <c r="H4087" s="114">
        <v>4982</v>
      </c>
      <c r="I4087" s="108"/>
      <c r="J4087" s="109">
        <v>0.98230088495575218</v>
      </c>
      <c r="K4087" s="109">
        <v>0.92307692307692313</v>
      </c>
      <c r="L4087" s="159">
        <v>3</v>
      </c>
      <c r="M4087" s="109">
        <v>0.66700000000000004</v>
      </c>
      <c r="N4087" s="109">
        <v>0.40620000000000001</v>
      </c>
    </row>
    <row r="4088" spans="1:14">
      <c r="A4088" s="56" t="s">
        <v>189</v>
      </c>
      <c r="B4088" s="14" t="s">
        <v>78</v>
      </c>
      <c r="C4088" s="14" t="s">
        <v>65</v>
      </c>
      <c r="D4088" s="14">
        <v>2017</v>
      </c>
      <c r="E4088" s="14">
        <v>2018</v>
      </c>
      <c r="F4088" s="14" t="s">
        <v>265</v>
      </c>
      <c r="G4088" s="111">
        <v>685</v>
      </c>
      <c r="H4088" s="114">
        <v>1492</v>
      </c>
      <c r="I4088" s="108"/>
      <c r="J4088" s="109">
        <v>0.94285714285714284</v>
      </c>
      <c r="K4088" s="109">
        <v>0.875</v>
      </c>
      <c r="L4088" s="159">
        <v>3</v>
      </c>
      <c r="M4088" s="109">
        <v>0.66700000000000004</v>
      </c>
      <c r="N4088" s="109">
        <v>0.40620000000000001</v>
      </c>
    </row>
    <row r="4089" spans="1:14">
      <c r="A4089" s="56" t="s">
        <v>190</v>
      </c>
      <c r="B4089" s="14" t="s">
        <v>77</v>
      </c>
      <c r="C4089" s="14" t="s">
        <v>65</v>
      </c>
      <c r="D4089" s="14">
        <v>2017</v>
      </c>
      <c r="E4089" s="14">
        <v>2018</v>
      </c>
      <c r="F4089" s="14" t="s">
        <v>265</v>
      </c>
      <c r="G4089" s="111">
        <v>31852</v>
      </c>
      <c r="H4089" s="114">
        <v>63270</v>
      </c>
      <c r="I4089" s="108"/>
      <c r="J4089" s="109">
        <v>0.97813288477712368</v>
      </c>
      <c r="K4089" s="109">
        <v>0.97755102040816322</v>
      </c>
      <c r="L4089" s="159">
        <v>1</v>
      </c>
      <c r="M4089" s="109">
        <v>0</v>
      </c>
      <c r="N4089" s="109">
        <v>3.1800000000000002E-2</v>
      </c>
    </row>
    <row r="4090" spans="1:14">
      <c r="A4090" s="56" t="s">
        <v>191</v>
      </c>
      <c r="B4090" s="14" t="s">
        <v>78</v>
      </c>
      <c r="C4090" s="14" t="s">
        <v>65</v>
      </c>
      <c r="D4090" s="14">
        <v>2017</v>
      </c>
      <c r="E4090" s="14">
        <v>2018</v>
      </c>
      <c r="F4090" s="14" t="s">
        <v>265</v>
      </c>
      <c r="G4090" s="111">
        <v>2602</v>
      </c>
      <c r="H4090" s="114">
        <v>5268</v>
      </c>
      <c r="I4090" s="108"/>
      <c r="J4090" s="109">
        <v>1</v>
      </c>
      <c r="K4090" s="109">
        <v>0.95348837209302328</v>
      </c>
      <c r="L4090" s="159">
        <v>3</v>
      </c>
      <c r="M4090" s="109">
        <v>0.66700000000000004</v>
      </c>
      <c r="N4090" s="109">
        <v>0.40620000000000001</v>
      </c>
    </row>
    <row r="4091" spans="1:14">
      <c r="A4091" s="56" t="s">
        <v>192</v>
      </c>
      <c r="B4091" s="14" t="s">
        <v>78</v>
      </c>
      <c r="C4091" s="14" t="s">
        <v>65</v>
      </c>
      <c r="D4091" s="14">
        <v>2017</v>
      </c>
      <c r="E4091" s="14">
        <v>2018</v>
      </c>
      <c r="F4091" s="14" t="s">
        <v>265</v>
      </c>
      <c r="G4091" s="111">
        <v>6685</v>
      </c>
      <c r="H4091" s="114">
        <v>11742</v>
      </c>
      <c r="I4091" s="108"/>
      <c r="J4091" s="109">
        <v>0.97740112994350281</v>
      </c>
      <c r="K4091" s="109">
        <v>0.98523985239852396</v>
      </c>
      <c r="L4091" s="159">
        <v>3</v>
      </c>
      <c r="M4091" s="109">
        <v>0.66700000000000004</v>
      </c>
      <c r="N4091" s="109">
        <v>0.40620000000000001</v>
      </c>
    </row>
    <row r="4092" spans="1:14">
      <c r="A4092" s="106" t="s">
        <v>134</v>
      </c>
      <c r="B4092" s="14" t="s">
        <v>77</v>
      </c>
      <c r="C4092" s="14" t="s">
        <v>65</v>
      </c>
      <c r="D4092" s="14">
        <v>2017</v>
      </c>
      <c r="E4092" s="14">
        <v>2018</v>
      </c>
      <c r="F4092" s="14" t="s">
        <v>265</v>
      </c>
      <c r="G4092" s="111">
        <v>88731</v>
      </c>
      <c r="H4092" s="114">
        <v>204699</v>
      </c>
      <c r="I4092" s="108"/>
      <c r="J4092" s="109">
        <v>0.96466721446179127</v>
      </c>
      <c r="K4092" s="109">
        <v>0.95012987012987016</v>
      </c>
      <c r="L4092" s="159">
        <v>3</v>
      </c>
      <c r="M4092" s="109">
        <v>0</v>
      </c>
      <c r="N4092" s="109">
        <v>5.7299999999999997E-2</v>
      </c>
    </row>
    <row r="4093" spans="1:14">
      <c r="A4093" s="106" t="s">
        <v>135</v>
      </c>
      <c r="B4093" s="14" t="s">
        <v>78</v>
      </c>
      <c r="C4093" s="14" t="s">
        <v>65</v>
      </c>
      <c r="D4093" s="14">
        <v>2017</v>
      </c>
      <c r="E4093" s="14">
        <v>2018</v>
      </c>
      <c r="F4093" s="14" t="s">
        <v>265</v>
      </c>
      <c r="G4093" s="111">
        <v>1487</v>
      </c>
      <c r="H4093" s="114">
        <v>3404</v>
      </c>
      <c r="I4093" s="108"/>
      <c r="J4093" s="109">
        <v>0.98571428571428577</v>
      </c>
      <c r="K4093" s="109">
        <v>1</v>
      </c>
      <c r="L4093" s="159">
        <v>3</v>
      </c>
      <c r="M4093" s="109">
        <v>0.66700000000000004</v>
      </c>
      <c r="N4093" s="109">
        <v>0.40620000000000001</v>
      </c>
    </row>
    <row r="4094" spans="1:14">
      <c r="A4094" s="106" t="s">
        <v>136</v>
      </c>
      <c r="B4094" s="14" t="s">
        <v>78</v>
      </c>
      <c r="C4094" s="14" t="s">
        <v>65</v>
      </c>
      <c r="D4094" s="14">
        <v>2017</v>
      </c>
      <c r="E4094" s="14">
        <v>2018</v>
      </c>
      <c r="F4094" s="14" t="s">
        <v>265</v>
      </c>
      <c r="G4094" s="111">
        <v>11949</v>
      </c>
      <c r="H4094" s="114">
        <v>20116</v>
      </c>
      <c r="I4094" s="108"/>
      <c r="J4094" s="109">
        <v>0.95652173913043481</v>
      </c>
      <c r="K4094" s="109">
        <v>0.96860986547085204</v>
      </c>
      <c r="L4094" s="159">
        <v>3</v>
      </c>
      <c r="M4094" s="109">
        <v>0.66700000000000004</v>
      </c>
      <c r="N4094" s="109">
        <v>0.40620000000000001</v>
      </c>
    </row>
    <row r="4095" spans="1:14">
      <c r="A4095" s="106" t="s">
        <v>137</v>
      </c>
      <c r="B4095" s="14" t="s">
        <v>78</v>
      </c>
      <c r="C4095" s="14" t="s">
        <v>65</v>
      </c>
      <c r="D4095" s="14">
        <v>2017</v>
      </c>
      <c r="E4095" s="14">
        <v>2018</v>
      </c>
      <c r="F4095" s="14" t="s">
        <v>265</v>
      </c>
      <c r="G4095" s="111">
        <v>17402</v>
      </c>
      <c r="H4095" s="114">
        <v>42152</v>
      </c>
      <c r="I4095" s="108"/>
      <c r="J4095" s="109">
        <v>0.9813829787234043</v>
      </c>
      <c r="K4095" s="109">
        <v>0.95424836601307195</v>
      </c>
      <c r="L4095" s="159">
        <v>3</v>
      </c>
      <c r="M4095" s="109">
        <v>0.66700000000000004</v>
      </c>
      <c r="N4095" s="109">
        <v>0.40620000000000001</v>
      </c>
    </row>
    <row r="4096" spans="1:14">
      <c r="A4096" s="106" t="s">
        <v>138</v>
      </c>
      <c r="B4096" s="14" t="s">
        <v>78</v>
      </c>
      <c r="C4096" s="14" t="s">
        <v>65</v>
      </c>
      <c r="D4096" s="14">
        <v>2017</v>
      </c>
      <c r="E4096" s="14">
        <v>2018</v>
      </c>
      <c r="F4096" s="14" t="s">
        <v>265</v>
      </c>
      <c r="G4096" s="111">
        <v>998</v>
      </c>
      <c r="H4096" s="114">
        <v>1915</v>
      </c>
      <c r="I4096" s="108"/>
      <c r="J4096" s="109">
        <v>0.97560975609756095</v>
      </c>
      <c r="K4096" s="109">
        <v>0.94444444444444442</v>
      </c>
      <c r="L4096" s="159">
        <v>3</v>
      </c>
      <c r="M4096" s="109">
        <v>0.66700000000000004</v>
      </c>
      <c r="N4096" s="109">
        <v>0.40620000000000001</v>
      </c>
    </row>
    <row r="4097" spans="1:14">
      <c r="A4097" s="106" t="s">
        <v>139</v>
      </c>
      <c r="B4097" s="14" t="s">
        <v>78</v>
      </c>
      <c r="C4097" s="14" t="s">
        <v>65</v>
      </c>
      <c r="D4097" s="14">
        <v>2017</v>
      </c>
      <c r="E4097" s="14">
        <v>2018</v>
      </c>
      <c r="F4097" s="14" t="s">
        <v>265</v>
      </c>
      <c r="G4097" s="111">
        <v>68617</v>
      </c>
      <c r="H4097" s="114">
        <v>157975</v>
      </c>
      <c r="I4097" s="108"/>
      <c r="J4097" s="109">
        <v>0.9884710403513588</v>
      </c>
      <c r="K4097" s="109">
        <v>0.93956953642384111</v>
      </c>
      <c r="L4097" s="159">
        <v>2</v>
      </c>
      <c r="M4097" s="109">
        <v>0.5</v>
      </c>
      <c r="N4097" s="109">
        <v>5.0200000000000002E-2</v>
      </c>
    </row>
    <row r="4098" spans="1:14">
      <c r="A4098" s="106" t="s">
        <v>140</v>
      </c>
      <c r="B4098" s="14" t="s">
        <v>78</v>
      </c>
      <c r="C4098" s="14" t="s">
        <v>65</v>
      </c>
      <c r="D4098" s="14">
        <v>2017</v>
      </c>
      <c r="E4098" s="14">
        <v>2018</v>
      </c>
      <c r="F4098" s="14" t="s">
        <v>265</v>
      </c>
      <c r="G4098" s="111">
        <v>10523</v>
      </c>
      <c r="H4098" s="114">
        <v>23482</v>
      </c>
      <c r="I4098" s="108"/>
      <c r="J4098" s="109">
        <v>0.99464285714285716</v>
      </c>
      <c r="K4098" s="109">
        <v>0.9338422391857506</v>
      </c>
      <c r="L4098" s="159">
        <v>3</v>
      </c>
      <c r="M4098" s="109">
        <v>0.66700000000000004</v>
      </c>
      <c r="N4098" s="109">
        <v>0.40620000000000001</v>
      </c>
    </row>
    <row r="4099" spans="1:14">
      <c r="A4099" s="106" t="s">
        <v>141</v>
      </c>
      <c r="B4099" s="14" t="s">
        <v>78</v>
      </c>
      <c r="C4099" s="14" t="s">
        <v>65</v>
      </c>
      <c r="D4099" s="14">
        <v>2017</v>
      </c>
      <c r="E4099" s="14">
        <v>2018</v>
      </c>
      <c r="F4099" s="14" t="s">
        <v>265</v>
      </c>
      <c r="G4099" s="111">
        <v>6578</v>
      </c>
      <c r="H4099" s="114">
        <v>12174</v>
      </c>
      <c r="I4099" s="108"/>
      <c r="J4099" s="109">
        <v>0.91481481481481486</v>
      </c>
      <c r="K4099" s="109">
        <v>0.85093167701863359</v>
      </c>
      <c r="L4099" s="159">
        <v>3</v>
      </c>
      <c r="M4099" s="109">
        <v>0.66700000000000004</v>
      </c>
      <c r="N4099" s="109">
        <v>0.40620000000000001</v>
      </c>
    </row>
    <row r="4100" spans="1:14">
      <c r="A4100" s="106" t="s">
        <v>142</v>
      </c>
      <c r="B4100" s="14" t="s">
        <v>78</v>
      </c>
      <c r="C4100" s="14" t="s">
        <v>65</v>
      </c>
      <c r="D4100" s="14">
        <v>2017</v>
      </c>
      <c r="E4100" s="14">
        <v>2018</v>
      </c>
      <c r="F4100" s="14" t="s">
        <v>265</v>
      </c>
      <c r="G4100" s="111">
        <v>1511</v>
      </c>
      <c r="H4100" s="114">
        <v>3043</v>
      </c>
      <c r="I4100" s="108"/>
      <c r="J4100" s="109">
        <v>0.93243243243243246</v>
      </c>
      <c r="K4100" s="109">
        <v>0.81132075471698117</v>
      </c>
      <c r="L4100" s="159">
        <v>3</v>
      </c>
      <c r="M4100" s="109">
        <v>0.66700000000000004</v>
      </c>
      <c r="N4100" s="109">
        <v>0.40620000000000001</v>
      </c>
    </row>
    <row r="4101" spans="1:14">
      <c r="A4101" s="106" t="s">
        <v>143</v>
      </c>
      <c r="B4101" s="14" t="s">
        <v>79</v>
      </c>
      <c r="C4101" s="14" t="s">
        <v>65</v>
      </c>
      <c r="D4101" s="14">
        <v>2017</v>
      </c>
      <c r="E4101" s="14">
        <v>2018</v>
      </c>
      <c r="F4101" s="14" t="s">
        <v>265</v>
      </c>
      <c r="G4101" s="111">
        <v>550197</v>
      </c>
      <c r="H4101" s="114">
        <v>1095403</v>
      </c>
      <c r="I4101" s="108"/>
      <c r="J4101" s="109">
        <v>0.98732853540013532</v>
      </c>
      <c r="K4101" s="109">
        <v>0.90461919033347604</v>
      </c>
      <c r="L4101" s="159">
        <v>18</v>
      </c>
      <c r="M4101" s="109">
        <v>0.44400000000000001</v>
      </c>
      <c r="N4101" s="109">
        <v>6.3E-2</v>
      </c>
    </row>
    <row r="4102" spans="1:14">
      <c r="A4102" s="106" t="s">
        <v>144</v>
      </c>
      <c r="B4102" s="14" t="s">
        <v>78</v>
      </c>
      <c r="C4102" s="14" t="s">
        <v>65</v>
      </c>
      <c r="D4102" s="14">
        <v>2017</v>
      </c>
      <c r="E4102" s="14">
        <v>2018</v>
      </c>
      <c r="F4102" s="14" t="s">
        <v>265</v>
      </c>
      <c r="G4102" s="111">
        <v>11211</v>
      </c>
      <c r="H4102" s="114">
        <v>27187</v>
      </c>
      <c r="I4102" s="108"/>
      <c r="J4102" s="109">
        <v>0.99530516431924887</v>
      </c>
      <c r="K4102" s="109">
        <v>0.98007968127490042</v>
      </c>
      <c r="L4102" s="159">
        <v>3</v>
      </c>
      <c r="M4102" s="109">
        <v>0.66700000000000004</v>
      </c>
      <c r="N4102" s="109">
        <v>0.40620000000000001</v>
      </c>
    </row>
    <row r="4103" spans="1:14">
      <c r="A4103" s="106" t="s">
        <v>145</v>
      </c>
      <c r="B4103" s="14" t="s">
        <v>78</v>
      </c>
      <c r="C4103" s="14" t="s">
        <v>65</v>
      </c>
      <c r="D4103" s="14">
        <v>2017</v>
      </c>
      <c r="E4103" s="14">
        <v>2018</v>
      </c>
      <c r="F4103" s="14" t="s">
        <v>265</v>
      </c>
      <c r="G4103" s="111">
        <v>5943</v>
      </c>
      <c r="H4103" s="114">
        <v>9818</v>
      </c>
      <c r="I4103" s="108"/>
      <c r="J4103" s="109">
        <v>0.96644295302013428</v>
      </c>
      <c r="K4103" s="109">
        <v>0.93048128342245995</v>
      </c>
      <c r="L4103" s="159">
        <v>3</v>
      </c>
      <c r="M4103" s="109">
        <v>0.66700000000000004</v>
      </c>
      <c r="N4103" s="109">
        <v>0.40620000000000001</v>
      </c>
    </row>
    <row r="4104" spans="1:14">
      <c r="A4104" s="106" t="s">
        <v>146</v>
      </c>
      <c r="B4104" s="14" t="s">
        <v>78</v>
      </c>
      <c r="C4104" s="14" t="s">
        <v>65</v>
      </c>
      <c r="D4104" s="14">
        <v>2017</v>
      </c>
      <c r="E4104" s="14">
        <v>2018</v>
      </c>
      <c r="F4104" s="14" t="s">
        <v>265</v>
      </c>
      <c r="G4104" s="111">
        <v>1023</v>
      </c>
      <c r="H4104" s="114">
        <v>1887</v>
      </c>
      <c r="I4104" s="108"/>
      <c r="J4104" s="109">
        <v>0.97142857142857142</v>
      </c>
      <c r="K4104" s="109">
        <v>0.95</v>
      </c>
      <c r="L4104" s="159">
        <v>3</v>
      </c>
      <c r="M4104" s="109">
        <v>0.66700000000000004</v>
      </c>
      <c r="N4104" s="109">
        <v>0.40620000000000001</v>
      </c>
    </row>
    <row r="4105" spans="1:14">
      <c r="A4105" s="106" t="s">
        <v>147</v>
      </c>
      <c r="B4105" s="14" t="s">
        <v>78</v>
      </c>
      <c r="C4105" s="14" t="s">
        <v>65</v>
      </c>
      <c r="D4105" s="14">
        <v>2017</v>
      </c>
      <c r="E4105" s="14">
        <v>2018</v>
      </c>
      <c r="F4105" s="14" t="s">
        <v>265</v>
      </c>
      <c r="G4105" s="111">
        <v>6400</v>
      </c>
      <c r="H4105" s="114">
        <v>11831</v>
      </c>
      <c r="I4105" s="108"/>
      <c r="J4105" s="109">
        <v>0.95216400911161736</v>
      </c>
      <c r="K4105" s="109">
        <v>0.91228070175438591</v>
      </c>
      <c r="L4105" s="159">
        <v>3</v>
      </c>
      <c r="M4105" s="109">
        <v>0.66700000000000004</v>
      </c>
      <c r="N4105" s="109">
        <v>0.40620000000000001</v>
      </c>
    </row>
    <row r="4106" spans="1:14">
      <c r="A4106" s="106" t="s">
        <v>148</v>
      </c>
      <c r="B4106" s="14" t="s">
        <v>78</v>
      </c>
      <c r="C4106" s="14" t="s">
        <v>65</v>
      </c>
      <c r="D4106" s="14">
        <v>2017</v>
      </c>
      <c r="E4106" s="14">
        <v>2018</v>
      </c>
      <c r="F4106" s="14" t="s">
        <v>265</v>
      </c>
      <c r="G4106" s="111">
        <v>23196</v>
      </c>
      <c r="H4106" s="114">
        <v>53463</v>
      </c>
      <c r="I4106" s="108"/>
      <c r="J4106" s="109">
        <v>0.97008547008547008</v>
      </c>
      <c r="K4106" s="109">
        <v>0.96417445482866049</v>
      </c>
      <c r="L4106" s="159">
        <v>1</v>
      </c>
      <c r="M4106" s="30">
        <v>1</v>
      </c>
      <c r="N4106" s="109">
        <v>2.9100000000000001E-2</v>
      </c>
    </row>
    <row r="4107" spans="1:14">
      <c r="A4107" s="106" t="s">
        <v>149</v>
      </c>
      <c r="B4107" s="14" t="s">
        <v>78</v>
      </c>
      <c r="C4107" s="14" t="s">
        <v>65</v>
      </c>
      <c r="D4107" s="14">
        <v>2017</v>
      </c>
      <c r="E4107" s="14">
        <v>2018</v>
      </c>
      <c r="F4107" s="14" t="s">
        <v>265</v>
      </c>
      <c r="G4107" s="111">
        <v>556</v>
      </c>
      <c r="H4107" s="114">
        <v>1169</v>
      </c>
      <c r="I4107" s="108"/>
      <c r="J4107" s="109">
        <v>0.97297297297297303</v>
      </c>
      <c r="K4107" s="109">
        <v>0.93103448275862066</v>
      </c>
      <c r="L4107" s="159">
        <v>3</v>
      </c>
      <c r="M4107" s="109">
        <v>0.66700000000000004</v>
      </c>
      <c r="N4107" s="109">
        <v>0.40620000000000001</v>
      </c>
    </row>
    <row r="4108" spans="1:14">
      <c r="A4108" s="106" t="s">
        <v>150</v>
      </c>
      <c r="B4108" s="14" t="s">
        <v>78</v>
      </c>
      <c r="C4108" s="14" t="s">
        <v>65</v>
      </c>
      <c r="D4108" s="14">
        <v>2017</v>
      </c>
      <c r="E4108" s="14">
        <v>2018</v>
      </c>
      <c r="F4108" s="14" t="s">
        <v>265</v>
      </c>
      <c r="G4108" s="111">
        <v>413</v>
      </c>
      <c r="H4108" s="114">
        <v>703</v>
      </c>
      <c r="I4108" s="108"/>
      <c r="J4108" s="109">
        <v>1</v>
      </c>
      <c r="K4108" s="109">
        <v>0.93548387096774188</v>
      </c>
      <c r="L4108" s="159">
        <v>3</v>
      </c>
      <c r="M4108" s="109">
        <v>0.66700000000000004</v>
      </c>
      <c r="N4108" s="109">
        <v>0.40620000000000001</v>
      </c>
    </row>
    <row r="4109" spans="1:14">
      <c r="A4109" s="106" t="s">
        <v>151</v>
      </c>
      <c r="B4109" s="14" t="s">
        <v>78</v>
      </c>
      <c r="C4109" s="14" t="s">
        <v>65</v>
      </c>
      <c r="D4109" s="14">
        <v>2017</v>
      </c>
      <c r="E4109" s="14">
        <v>2018</v>
      </c>
      <c r="F4109" s="14" t="s">
        <v>265</v>
      </c>
      <c r="G4109" s="111">
        <v>19155</v>
      </c>
      <c r="H4109" s="114">
        <v>41620</v>
      </c>
      <c r="I4109" s="108"/>
      <c r="J4109" s="109">
        <v>0.98764342453662846</v>
      </c>
      <c r="K4109" s="109">
        <v>0.95245901639344266</v>
      </c>
      <c r="L4109" s="159">
        <v>1</v>
      </c>
      <c r="M4109" s="109">
        <v>0</v>
      </c>
      <c r="N4109" s="109">
        <v>3.6600000000000001E-2</v>
      </c>
    </row>
    <row r="4110" spans="1:14">
      <c r="A4110" s="106" t="s">
        <v>152</v>
      </c>
      <c r="B4110" s="14" t="s">
        <v>78</v>
      </c>
      <c r="C4110" s="14" t="s">
        <v>65</v>
      </c>
      <c r="D4110" s="14">
        <v>2017</v>
      </c>
      <c r="E4110" s="14">
        <v>2018</v>
      </c>
      <c r="F4110" s="14" t="s">
        <v>265</v>
      </c>
      <c r="G4110" s="111">
        <v>3090</v>
      </c>
      <c r="H4110" s="114">
        <v>6222</v>
      </c>
      <c r="I4110" s="108"/>
      <c r="J4110" s="109">
        <v>0.90677966101694918</v>
      </c>
      <c r="K4110" s="109">
        <v>0.89552238805970152</v>
      </c>
      <c r="L4110" s="159">
        <v>3</v>
      </c>
      <c r="M4110" s="109">
        <v>0.66700000000000004</v>
      </c>
      <c r="N4110" s="109">
        <v>0.40620000000000001</v>
      </c>
    </row>
    <row r="4111" spans="1:14">
      <c r="A4111" s="106" t="s">
        <v>153</v>
      </c>
      <c r="B4111" s="14" t="s">
        <v>78</v>
      </c>
      <c r="C4111" s="14" t="s">
        <v>65</v>
      </c>
      <c r="D4111" s="14">
        <v>2017</v>
      </c>
      <c r="E4111" s="14">
        <v>2018</v>
      </c>
      <c r="F4111" s="14" t="s">
        <v>265</v>
      </c>
      <c r="G4111" s="111">
        <v>4107</v>
      </c>
      <c r="H4111" s="114">
        <v>7079</v>
      </c>
      <c r="I4111" s="108"/>
      <c r="J4111" s="109">
        <v>0.89047619047619042</v>
      </c>
      <c r="K4111" s="109">
        <v>0.81690140845070425</v>
      </c>
      <c r="L4111" s="159">
        <v>3</v>
      </c>
      <c r="M4111" s="109">
        <v>0.66700000000000004</v>
      </c>
      <c r="N4111" s="109">
        <v>0.40620000000000001</v>
      </c>
    </row>
    <row r="4112" spans="1:14">
      <c r="A4112" s="106" t="s">
        <v>154</v>
      </c>
      <c r="B4112" s="14" t="s">
        <v>77</v>
      </c>
      <c r="C4112" s="14" t="s">
        <v>65</v>
      </c>
      <c r="D4112" s="14">
        <v>2017</v>
      </c>
      <c r="E4112" s="14">
        <v>2018</v>
      </c>
      <c r="F4112" s="14" t="s">
        <v>265</v>
      </c>
      <c r="G4112" s="111">
        <v>115302</v>
      </c>
      <c r="H4112" s="114">
        <v>231950</v>
      </c>
      <c r="I4112" s="108"/>
      <c r="J4112" s="109">
        <v>0.99254526091586792</v>
      </c>
      <c r="K4112" s="109">
        <v>0.99911738746690204</v>
      </c>
      <c r="L4112" s="159">
        <v>3</v>
      </c>
      <c r="M4112" s="109">
        <v>0.33300000000000002</v>
      </c>
      <c r="N4112" s="109">
        <v>3.8600000000000002E-2</v>
      </c>
    </row>
    <row r="4113" spans="1:14">
      <c r="A4113" s="106" t="s">
        <v>155</v>
      </c>
      <c r="B4113" s="14" t="s">
        <v>77</v>
      </c>
      <c r="C4113" s="14" t="s">
        <v>65</v>
      </c>
      <c r="D4113" s="14">
        <v>2017</v>
      </c>
      <c r="E4113" s="14">
        <v>2018</v>
      </c>
      <c r="F4113" s="14" t="s">
        <v>265</v>
      </c>
      <c r="G4113" s="111">
        <v>8593</v>
      </c>
      <c r="H4113" s="114">
        <v>17608</v>
      </c>
      <c r="I4113" s="108"/>
      <c r="J4113" s="109">
        <v>1</v>
      </c>
      <c r="K4113" s="109">
        <v>0.90256410256410258</v>
      </c>
      <c r="L4113" s="159">
        <v>3</v>
      </c>
      <c r="M4113" s="109">
        <v>0.66700000000000004</v>
      </c>
      <c r="N4113" s="109">
        <v>0.40620000000000001</v>
      </c>
    </row>
    <row r="4114" spans="1:14">
      <c r="A4114" s="106" t="s">
        <v>156</v>
      </c>
      <c r="B4114" s="14" t="s">
        <v>78</v>
      </c>
      <c r="C4114" s="14" t="s">
        <v>65</v>
      </c>
      <c r="D4114" s="14">
        <v>2017</v>
      </c>
      <c r="E4114" s="14">
        <v>2018</v>
      </c>
      <c r="F4114" s="14" t="s">
        <v>265</v>
      </c>
      <c r="G4114" s="111">
        <v>1139</v>
      </c>
      <c r="H4114" s="114">
        <v>2030</v>
      </c>
      <c r="I4114" s="108"/>
      <c r="J4114" s="109">
        <v>0.97297297297297303</v>
      </c>
      <c r="K4114" s="109">
        <v>1</v>
      </c>
      <c r="L4114" s="159">
        <v>3</v>
      </c>
      <c r="M4114" s="109">
        <v>0.66700000000000004</v>
      </c>
      <c r="N4114" s="109">
        <v>0.40620000000000001</v>
      </c>
    </row>
    <row r="4115" spans="1:14">
      <c r="A4115" s="106" t="s">
        <v>157</v>
      </c>
      <c r="B4115" s="14" t="s">
        <v>78</v>
      </c>
      <c r="C4115" s="14" t="s">
        <v>65</v>
      </c>
      <c r="D4115" s="14">
        <v>2017</v>
      </c>
      <c r="E4115" s="14">
        <v>2018</v>
      </c>
      <c r="F4115" s="14" t="s">
        <v>265</v>
      </c>
      <c r="G4115" s="111">
        <v>122806</v>
      </c>
      <c r="H4115" s="114">
        <v>270567</v>
      </c>
      <c r="I4115" s="108"/>
      <c r="J4115" s="109">
        <v>0.98828394210889037</v>
      </c>
      <c r="K4115" s="109">
        <v>0.89963280293757653</v>
      </c>
      <c r="L4115" s="159">
        <v>3</v>
      </c>
      <c r="M4115" s="109">
        <v>0.33300000000000002</v>
      </c>
      <c r="N4115" s="109">
        <v>5.33E-2</v>
      </c>
    </row>
    <row r="4116" spans="1:14">
      <c r="A4116" s="106" t="s">
        <v>158</v>
      </c>
      <c r="B4116" s="14" t="s">
        <v>77</v>
      </c>
      <c r="C4116" s="14" t="s">
        <v>65</v>
      </c>
      <c r="D4116" s="14">
        <v>2017</v>
      </c>
      <c r="E4116" s="14">
        <v>2018</v>
      </c>
      <c r="F4116" s="14" t="s">
        <v>265</v>
      </c>
      <c r="G4116" s="111">
        <v>97936</v>
      </c>
      <c r="H4116" s="114">
        <v>204329</v>
      </c>
      <c r="I4116" s="108"/>
      <c r="J4116" s="109">
        <v>0.99543869063590018</v>
      </c>
      <c r="K4116" s="109">
        <v>0.99299191374663076</v>
      </c>
      <c r="L4116" s="159">
        <v>3</v>
      </c>
      <c r="M4116" s="109">
        <v>0.33300000000000002</v>
      </c>
      <c r="N4116" s="109">
        <v>3.73E-2</v>
      </c>
    </row>
    <row r="4117" spans="1:14">
      <c r="A4117" s="106" t="s">
        <v>159</v>
      </c>
      <c r="B4117" s="14" t="s">
        <v>78</v>
      </c>
      <c r="C4117" s="14" t="s">
        <v>65</v>
      </c>
      <c r="D4117" s="14">
        <v>2017</v>
      </c>
      <c r="E4117" s="14">
        <v>2018</v>
      </c>
      <c r="F4117" s="14" t="s">
        <v>265</v>
      </c>
      <c r="G4117" s="111">
        <v>2129</v>
      </c>
      <c r="H4117" s="114">
        <v>4710</v>
      </c>
      <c r="I4117" s="108"/>
      <c r="J4117" s="109">
        <v>0.91269841269841268</v>
      </c>
      <c r="K4117" s="109">
        <v>0.9285714285714286</v>
      </c>
      <c r="L4117" s="159">
        <v>3</v>
      </c>
      <c r="M4117" s="109">
        <v>0.66700000000000004</v>
      </c>
      <c r="N4117" s="109">
        <v>0.40620000000000001</v>
      </c>
    </row>
    <row r="4118" spans="1:14">
      <c r="A4118" s="106" t="s">
        <v>160</v>
      </c>
      <c r="B4118" s="14" t="s">
        <v>78</v>
      </c>
      <c r="C4118" s="14" t="s">
        <v>65</v>
      </c>
      <c r="D4118" s="14">
        <v>2017</v>
      </c>
      <c r="E4118" s="14">
        <v>2018</v>
      </c>
      <c r="F4118" s="14" t="s">
        <v>265</v>
      </c>
      <c r="G4118" s="111">
        <v>165353</v>
      </c>
      <c r="H4118" s="114">
        <v>359372</v>
      </c>
      <c r="I4118" s="108"/>
      <c r="J4118" s="109">
        <v>0.99355839198377671</v>
      </c>
      <c r="K4118" s="109">
        <v>0.9447819871336669</v>
      </c>
      <c r="L4118" s="159">
        <v>4</v>
      </c>
      <c r="M4118" s="109">
        <v>0.25</v>
      </c>
      <c r="N4118" s="109">
        <v>2.69E-2</v>
      </c>
    </row>
    <row r="4119" spans="1:14">
      <c r="A4119" s="106" t="s">
        <v>161</v>
      </c>
      <c r="B4119" s="14" t="s">
        <v>77</v>
      </c>
      <c r="C4119" s="14" t="s">
        <v>65</v>
      </c>
      <c r="D4119" s="14">
        <v>2017</v>
      </c>
      <c r="E4119" s="14">
        <v>2018</v>
      </c>
      <c r="F4119" s="14" t="s">
        <v>265</v>
      </c>
      <c r="G4119" s="111">
        <v>134449</v>
      </c>
      <c r="H4119" s="114">
        <v>268458</v>
      </c>
      <c r="I4119" s="108"/>
      <c r="J4119" s="109">
        <v>0.97419741974197416</v>
      </c>
      <c r="K4119" s="109">
        <v>0.95592823712948516</v>
      </c>
      <c r="L4119" s="159">
        <v>5</v>
      </c>
      <c r="M4119" s="109">
        <v>0.2</v>
      </c>
      <c r="N4119" s="109">
        <v>1.47E-2</v>
      </c>
    </row>
    <row r="4120" spans="1:14">
      <c r="A4120" s="106" t="s">
        <v>162</v>
      </c>
      <c r="B4120" s="14" t="s">
        <v>77</v>
      </c>
      <c r="C4120" s="14" t="s">
        <v>65</v>
      </c>
      <c r="D4120" s="14">
        <v>2017</v>
      </c>
      <c r="E4120" s="14">
        <v>2018</v>
      </c>
      <c r="F4120" s="14" t="s">
        <v>265</v>
      </c>
      <c r="G4120" s="111">
        <v>34061</v>
      </c>
      <c r="H4120" s="114">
        <v>50846</v>
      </c>
      <c r="I4120" s="108"/>
      <c r="J4120" s="109">
        <v>0.97461589846359387</v>
      </c>
      <c r="K4120" s="109">
        <v>0.86899563318777295</v>
      </c>
      <c r="L4120" s="159">
        <v>0</v>
      </c>
      <c r="M4120" s="109">
        <v>0</v>
      </c>
      <c r="N4120" s="109">
        <v>8.0399999999999999E-2</v>
      </c>
    </row>
    <row r="4121" spans="1:14">
      <c r="A4121" s="106" t="s">
        <v>163</v>
      </c>
      <c r="B4121" s="14" t="s">
        <v>78</v>
      </c>
      <c r="C4121" s="14" t="s">
        <v>65</v>
      </c>
      <c r="D4121" s="14">
        <v>2017</v>
      </c>
      <c r="E4121" s="14">
        <v>2018</v>
      </c>
      <c r="F4121" s="14" t="s">
        <v>265</v>
      </c>
      <c r="G4121" s="111">
        <v>47501</v>
      </c>
      <c r="H4121" s="114">
        <v>104759</v>
      </c>
      <c r="I4121" s="108"/>
      <c r="J4121" s="109">
        <v>0.98239254272397725</v>
      </c>
      <c r="K4121" s="109">
        <v>0.92067307692307687</v>
      </c>
      <c r="L4121" s="159">
        <v>2</v>
      </c>
      <c r="M4121" s="109">
        <v>0.5</v>
      </c>
      <c r="N4121" s="109">
        <v>0</v>
      </c>
    </row>
    <row r="4122" spans="1:14">
      <c r="A4122" s="106" t="s">
        <v>164</v>
      </c>
      <c r="B4122" s="14" t="s">
        <v>77</v>
      </c>
      <c r="C4122" s="14" t="s">
        <v>65</v>
      </c>
      <c r="D4122" s="14">
        <v>2017</v>
      </c>
      <c r="E4122" s="14">
        <v>2018</v>
      </c>
      <c r="F4122" s="14" t="s">
        <v>265</v>
      </c>
      <c r="G4122" s="111">
        <v>9423</v>
      </c>
      <c r="H4122" s="114">
        <v>16564</v>
      </c>
      <c r="I4122" s="108"/>
      <c r="J4122" s="109">
        <v>0.97692307692307689</v>
      </c>
      <c r="K4122" s="109">
        <v>0.94871794871794868</v>
      </c>
      <c r="L4122" s="159">
        <v>3</v>
      </c>
      <c r="M4122" s="109">
        <v>0.66700000000000004</v>
      </c>
      <c r="N4122" s="109">
        <v>0.40620000000000001</v>
      </c>
    </row>
    <row r="4123" spans="1:14">
      <c r="A4123" s="106" t="s">
        <v>165</v>
      </c>
      <c r="B4123" s="14" t="s">
        <v>77</v>
      </c>
      <c r="C4123" s="14" t="s">
        <v>65</v>
      </c>
      <c r="D4123" s="14">
        <v>2017</v>
      </c>
      <c r="E4123" s="14">
        <v>2018</v>
      </c>
      <c r="F4123" s="14" t="s">
        <v>265</v>
      </c>
      <c r="G4123" s="111">
        <v>13306</v>
      </c>
      <c r="H4123" s="114">
        <v>25396</v>
      </c>
      <c r="I4123" s="108"/>
      <c r="J4123" s="109">
        <v>0.99439252336448603</v>
      </c>
      <c r="K4123" s="109">
        <v>0.87687687687687688</v>
      </c>
      <c r="L4123" s="159">
        <v>3</v>
      </c>
      <c r="M4123" s="109">
        <v>0.66700000000000004</v>
      </c>
      <c r="N4123" s="109">
        <v>0.40620000000000001</v>
      </c>
    </row>
    <row r="4124" spans="1:14">
      <c r="A4124" s="106" t="s">
        <v>166</v>
      </c>
      <c r="B4124" s="14" t="s">
        <v>77</v>
      </c>
      <c r="C4124" s="14" t="s">
        <v>65</v>
      </c>
      <c r="D4124" s="14">
        <v>2017</v>
      </c>
      <c r="E4124" s="14">
        <v>2018</v>
      </c>
      <c r="F4124" s="14" t="s">
        <v>265</v>
      </c>
      <c r="G4124" s="111">
        <v>18410</v>
      </c>
      <c r="H4124" s="114">
        <v>36620</v>
      </c>
      <c r="I4124" s="108"/>
      <c r="J4124" s="109">
        <v>0.94405043341213557</v>
      </c>
      <c r="K4124" s="109">
        <v>0.88854489164086692</v>
      </c>
      <c r="L4124" s="159">
        <v>3</v>
      </c>
      <c r="M4124" s="109">
        <v>0.66700000000000004</v>
      </c>
      <c r="N4124" s="109">
        <v>0.40620000000000001</v>
      </c>
    </row>
    <row r="4125" spans="1:14">
      <c r="A4125" s="106" t="s">
        <v>167</v>
      </c>
      <c r="B4125" s="14" t="s">
        <v>77</v>
      </c>
      <c r="C4125" s="14" t="s">
        <v>65</v>
      </c>
      <c r="D4125" s="14">
        <v>2017</v>
      </c>
      <c r="E4125" s="14">
        <v>2018</v>
      </c>
      <c r="F4125" s="14" t="s">
        <v>265</v>
      </c>
      <c r="G4125" s="111">
        <v>46314</v>
      </c>
      <c r="H4125" s="114">
        <v>89521</v>
      </c>
      <c r="I4125" s="108"/>
      <c r="J4125" s="109">
        <v>0.99179366940211022</v>
      </c>
      <c r="K4125" s="109">
        <v>0.97431192660550459</v>
      </c>
      <c r="L4125" s="159">
        <v>1</v>
      </c>
      <c r="M4125" s="109">
        <v>1</v>
      </c>
      <c r="N4125" s="109">
        <v>0.1055</v>
      </c>
    </row>
    <row r="4126" spans="1:14">
      <c r="A4126" s="106" t="s">
        <v>168</v>
      </c>
      <c r="B4126" s="14" t="s">
        <v>77</v>
      </c>
      <c r="C4126" s="14" t="s">
        <v>65</v>
      </c>
      <c r="D4126" s="14">
        <v>2017</v>
      </c>
      <c r="E4126" s="14">
        <v>2018</v>
      </c>
      <c r="F4126" s="14" t="s">
        <v>265</v>
      </c>
      <c r="G4126" s="111">
        <v>13982</v>
      </c>
      <c r="H4126" s="114">
        <v>24693</v>
      </c>
      <c r="I4126" s="108"/>
      <c r="J4126" s="109">
        <v>0.98141891891891897</v>
      </c>
      <c r="K4126" s="109">
        <v>0.93939393939393945</v>
      </c>
      <c r="L4126" s="159">
        <v>3</v>
      </c>
      <c r="M4126" s="109">
        <v>0.66700000000000004</v>
      </c>
      <c r="N4126" s="109">
        <v>0.40620000000000001</v>
      </c>
    </row>
    <row r="4127" spans="1:14">
      <c r="A4127" s="106" t="s">
        <v>169</v>
      </c>
      <c r="B4127" s="14" t="s">
        <v>78</v>
      </c>
      <c r="C4127" s="14" t="s">
        <v>65</v>
      </c>
      <c r="D4127" s="14">
        <v>2017</v>
      </c>
      <c r="E4127" s="14">
        <v>2018</v>
      </c>
      <c r="F4127" s="14" t="s">
        <v>265</v>
      </c>
      <c r="G4127" s="111">
        <v>12297</v>
      </c>
      <c r="H4127" s="114">
        <v>23035</v>
      </c>
      <c r="I4127" s="108"/>
      <c r="J4127" s="109">
        <v>0.94233937397034595</v>
      </c>
      <c r="K4127" s="109">
        <v>0.96803652968036524</v>
      </c>
      <c r="L4127" s="159">
        <v>3</v>
      </c>
      <c r="M4127" s="109">
        <v>0.66700000000000004</v>
      </c>
      <c r="N4127" s="109">
        <v>0.40620000000000001</v>
      </c>
    </row>
    <row r="4128" spans="1:14">
      <c r="A4128" s="106" t="s">
        <v>170</v>
      </c>
      <c r="B4128" s="14" t="s">
        <v>78</v>
      </c>
      <c r="C4128" s="14" t="s">
        <v>65</v>
      </c>
      <c r="D4128" s="14">
        <v>2017</v>
      </c>
      <c r="E4128" s="14">
        <v>2018</v>
      </c>
      <c r="F4128" s="14" t="s">
        <v>265</v>
      </c>
      <c r="G4128" s="111">
        <v>159</v>
      </c>
      <c r="H4128" s="114">
        <v>273</v>
      </c>
      <c r="I4128" s="108"/>
      <c r="J4128" s="109">
        <v>1</v>
      </c>
      <c r="K4128" s="109">
        <v>0.4</v>
      </c>
      <c r="L4128" s="159">
        <v>3</v>
      </c>
      <c r="M4128" s="109">
        <v>0.66700000000000004</v>
      </c>
      <c r="N4128" s="109">
        <v>0.40620000000000001</v>
      </c>
    </row>
    <row r="4129" spans="1:14">
      <c r="A4129" s="106" t="s">
        <v>171</v>
      </c>
      <c r="B4129" s="14" t="s">
        <v>78</v>
      </c>
      <c r="C4129" s="14" t="s">
        <v>65</v>
      </c>
      <c r="D4129" s="14">
        <v>2017</v>
      </c>
      <c r="E4129" s="14">
        <v>2018</v>
      </c>
      <c r="F4129" s="14" t="s">
        <v>265</v>
      </c>
      <c r="G4129" s="111">
        <v>3070</v>
      </c>
      <c r="H4129" s="114">
        <v>6252</v>
      </c>
      <c r="I4129" s="108"/>
      <c r="J4129" s="109">
        <v>0.97590361445783136</v>
      </c>
      <c r="K4129" s="109">
        <v>0.88495575221238942</v>
      </c>
      <c r="L4129" s="159">
        <v>3</v>
      </c>
      <c r="M4129" s="109">
        <v>0.66700000000000004</v>
      </c>
      <c r="N4129" s="109">
        <v>0.40620000000000001</v>
      </c>
    </row>
    <row r="4130" spans="1:14">
      <c r="A4130" s="106" t="s">
        <v>172</v>
      </c>
      <c r="B4130" s="14" t="s">
        <v>77</v>
      </c>
      <c r="C4130" s="14" t="s">
        <v>65</v>
      </c>
      <c r="D4130" s="14">
        <v>2017</v>
      </c>
      <c r="E4130" s="14">
        <v>2018</v>
      </c>
      <c r="F4130" s="14" t="s">
        <v>265</v>
      </c>
      <c r="G4130" s="111">
        <v>20972</v>
      </c>
      <c r="H4130" s="114">
        <v>39184</v>
      </c>
      <c r="I4130" s="108"/>
      <c r="J4130" s="109">
        <v>0.97503285151116947</v>
      </c>
      <c r="K4130" s="109">
        <v>0.96186440677966101</v>
      </c>
      <c r="L4130" s="159">
        <v>1</v>
      </c>
      <c r="M4130" s="109">
        <v>0</v>
      </c>
      <c r="N4130" s="109">
        <v>0</v>
      </c>
    </row>
    <row r="4131" spans="1:14">
      <c r="A4131" s="106" t="s">
        <v>173</v>
      </c>
      <c r="B4131" s="14" t="s">
        <v>77</v>
      </c>
      <c r="C4131" s="14" t="s">
        <v>65</v>
      </c>
      <c r="D4131" s="14">
        <v>2017</v>
      </c>
      <c r="E4131" s="14">
        <v>2018</v>
      </c>
      <c r="F4131" s="14" t="s">
        <v>265</v>
      </c>
      <c r="G4131" s="111">
        <v>17685</v>
      </c>
      <c r="H4131" s="114">
        <v>33138</v>
      </c>
      <c r="I4131" s="108"/>
      <c r="J4131" s="109">
        <v>0.96666666666666667</v>
      </c>
      <c r="K4131" s="109">
        <v>0.734006734006734</v>
      </c>
      <c r="L4131" s="159">
        <v>3</v>
      </c>
      <c r="M4131" s="109">
        <v>0.66700000000000004</v>
      </c>
      <c r="N4131" s="109">
        <v>0.40620000000000001</v>
      </c>
    </row>
    <row r="4132" spans="1:14">
      <c r="A4132" s="106" t="s">
        <v>174</v>
      </c>
      <c r="B4132" s="14" t="s">
        <v>78</v>
      </c>
      <c r="C4132" s="14" t="s">
        <v>65</v>
      </c>
      <c r="D4132" s="14">
        <v>2017</v>
      </c>
      <c r="E4132" s="14">
        <v>2018</v>
      </c>
      <c r="F4132" s="14" t="s">
        <v>265</v>
      </c>
      <c r="G4132" s="111">
        <v>39064</v>
      </c>
      <c r="H4132" s="114">
        <v>81180</v>
      </c>
      <c r="I4132" s="108"/>
      <c r="J4132" s="109">
        <v>0.97713663581927057</v>
      </c>
      <c r="K4132" s="109">
        <v>0.9513776337115073</v>
      </c>
      <c r="L4132" s="159">
        <v>1</v>
      </c>
      <c r="M4132" s="109">
        <v>1</v>
      </c>
      <c r="N4132" s="109">
        <v>1.6E-2</v>
      </c>
    </row>
    <row r="4133" spans="1:14">
      <c r="A4133" s="106" t="s">
        <v>175</v>
      </c>
      <c r="B4133" s="14" t="s">
        <v>78</v>
      </c>
      <c r="C4133" s="14" t="s">
        <v>65</v>
      </c>
      <c r="D4133" s="14">
        <v>2017</v>
      </c>
      <c r="E4133" s="14">
        <v>2018</v>
      </c>
      <c r="F4133" s="14" t="s">
        <v>265</v>
      </c>
      <c r="G4133" s="111">
        <v>5303</v>
      </c>
      <c r="H4133" s="114">
        <v>12101</v>
      </c>
      <c r="I4133" s="108"/>
      <c r="J4133" s="109">
        <v>0.98445595854922274</v>
      </c>
      <c r="K4133" s="109">
        <v>0.91719745222929938</v>
      </c>
      <c r="L4133" s="159">
        <v>3</v>
      </c>
      <c r="M4133" s="109">
        <v>0.66700000000000004</v>
      </c>
      <c r="N4133" s="109">
        <v>0.40620000000000001</v>
      </c>
    </row>
    <row r="4134" spans="1:14">
      <c r="A4134" s="106" t="s">
        <v>176</v>
      </c>
      <c r="B4134" s="14" t="s">
        <v>78</v>
      </c>
      <c r="C4134" s="14" t="s">
        <v>65</v>
      </c>
      <c r="D4134" s="14">
        <v>2017</v>
      </c>
      <c r="E4134" s="14">
        <v>2018</v>
      </c>
      <c r="F4134" s="14" t="s">
        <v>265</v>
      </c>
      <c r="G4134" s="111">
        <v>4208</v>
      </c>
      <c r="H4134" s="114">
        <v>9010</v>
      </c>
      <c r="I4134" s="108"/>
      <c r="J4134" s="109">
        <v>0.97701149425287359</v>
      </c>
      <c r="K4134" s="109">
        <v>0.97457627118644063</v>
      </c>
      <c r="L4134" s="159">
        <v>3</v>
      </c>
      <c r="M4134" s="109">
        <v>0.66700000000000004</v>
      </c>
      <c r="N4134" s="109">
        <v>0.40620000000000001</v>
      </c>
    </row>
    <row r="4135" spans="1:14">
      <c r="A4135" s="106" t="s">
        <v>177</v>
      </c>
      <c r="B4135" s="14" t="s">
        <v>78</v>
      </c>
      <c r="C4135" s="14" t="s">
        <v>65</v>
      </c>
      <c r="D4135" s="14">
        <v>2017</v>
      </c>
      <c r="E4135" s="14">
        <v>2018</v>
      </c>
      <c r="F4135" s="14" t="s">
        <v>265</v>
      </c>
      <c r="G4135" s="111">
        <v>974</v>
      </c>
      <c r="H4135" s="114">
        <v>1705</v>
      </c>
      <c r="I4135" s="108"/>
      <c r="J4135" s="109">
        <v>1</v>
      </c>
      <c r="K4135" s="109">
        <v>0.72093023255813948</v>
      </c>
      <c r="L4135" s="159">
        <v>3</v>
      </c>
      <c r="M4135" s="109">
        <v>0.66700000000000004</v>
      </c>
      <c r="N4135" s="109">
        <v>0.40620000000000001</v>
      </c>
    </row>
    <row r="4136" spans="1:14">
      <c r="A4136" s="106" t="s">
        <v>178</v>
      </c>
      <c r="B4136" s="14" t="s">
        <v>77</v>
      </c>
      <c r="C4136" s="14" t="s">
        <v>65</v>
      </c>
      <c r="D4136" s="14">
        <v>2017</v>
      </c>
      <c r="E4136" s="14">
        <v>2018</v>
      </c>
      <c r="F4136" s="14" t="s">
        <v>265</v>
      </c>
      <c r="G4136" s="111">
        <v>51237</v>
      </c>
      <c r="H4136" s="114">
        <v>117227</v>
      </c>
      <c r="I4136" s="108"/>
      <c r="J4136" s="109">
        <v>0.9051610057344508</v>
      </c>
      <c r="K4136" s="109">
        <v>0.875</v>
      </c>
      <c r="L4136" s="159">
        <v>2</v>
      </c>
      <c r="M4136" s="109">
        <v>0</v>
      </c>
      <c r="N4136" s="109">
        <v>3.56E-2</v>
      </c>
    </row>
    <row r="4137" spans="1:14">
      <c r="A4137" s="106" t="s">
        <v>179</v>
      </c>
      <c r="B4137" s="14" t="s">
        <v>78</v>
      </c>
      <c r="C4137" s="14" t="s">
        <v>65</v>
      </c>
      <c r="D4137" s="14">
        <v>2017</v>
      </c>
      <c r="E4137" s="14">
        <v>2018</v>
      </c>
      <c r="F4137" s="14" t="s">
        <v>265</v>
      </c>
      <c r="G4137" s="111">
        <v>2737</v>
      </c>
      <c r="H4137" s="114">
        <v>4800</v>
      </c>
      <c r="I4137" s="108"/>
      <c r="J4137" s="109">
        <v>0.971830985915493</v>
      </c>
      <c r="K4137" s="109">
        <v>0.94680851063829785</v>
      </c>
      <c r="L4137" s="159">
        <v>3</v>
      </c>
      <c r="M4137" s="109">
        <v>0.66700000000000004</v>
      </c>
      <c r="N4137" s="109">
        <v>0.40620000000000001</v>
      </c>
    </row>
    <row r="4138" spans="1:14">
      <c r="A4138" s="106" t="s">
        <v>180</v>
      </c>
      <c r="B4138" s="14" t="s">
        <v>77</v>
      </c>
      <c r="C4138" s="14" t="s">
        <v>65</v>
      </c>
      <c r="D4138" s="14">
        <v>2017</v>
      </c>
      <c r="E4138" s="14">
        <v>2018</v>
      </c>
      <c r="F4138" s="14" t="s">
        <v>265</v>
      </c>
      <c r="G4138" s="111">
        <v>34846</v>
      </c>
      <c r="H4138" s="114">
        <v>68759</v>
      </c>
      <c r="I4138" s="108"/>
      <c r="J4138" s="109">
        <v>0.98827208756841278</v>
      </c>
      <c r="K4138" s="109">
        <v>0.96953210010881397</v>
      </c>
      <c r="L4138" s="159">
        <v>1</v>
      </c>
      <c r="M4138" s="109">
        <v>0</v>
      </c>
      <c r="N4138" s="109">
        <v>5.0500000000000003E-2</v>
      </c>
    </row>
    <row r="4139" spans="1:14">
      <c r="A4139" s="106" t="s">
        <v>181</v>
      </c>
      <c r="B4139" s="14" t="s">
        <v>77</v>
      </c>
      <c r="C4139" s="14" t="s">
        <v>65</v>
      </c>
      <c r="D4139" s="14">
        <v>2017</v>
      </c>
      <c r="E4139" s="14">
        <v>2018</v>
      </c>
      <c r="F4139" s="14" t="s">
        <v>265</v>
      </c>
      <c r="G4139" s="111">
        <v>9918</v>
      </c>
      <c r="H4139" s="114">
        <v>18541</v>
      </c>
      <c r="I4139" s="108"/>
      <c r="J4139" s="109">
        <v>0.84379785604900459</v>
      </c>
      <c r="K4139" s="109">
        <v>0.95041322314049592</v>
      </c>
      <c r="L4139" s="159">
        <v>3</v>
      </c>
      <c r="M4139" s="109">
        <v>0.66700000000000004</v>
      </c>
      <c r="N4139" s="109">
        <v>0.40620000000000001</v>
      </c>
    </row>
    <row r="4140" spans="1:14">
      <c r="A4140" s="106" t="s">
        <v>182</v>
      </c>
      <c r="B4140" s="14" t="s">
        <v>78</v>
      </c>
      <c r="C4140" s="14" t="s">
        <v>65</v>
      </c>
      <c r="D4140" s="14">
        <v>2017</v>
      </c>
      <c r="E4140" s="14">
        <v>2018</v>
      </c>
      <c r="F4140" s="14" t="s">
        <v>265</v>
      </c>
      <c r="G4140" s="111">
        <v>6014</v>
      </c>
      <c r="H4140" s="114">
        <v>12928</v>
      </c>
      <c r="I4140" s="108"/>
      <c r="J4140" s="109">
        <v>0.99344262295081964</v>
      </c>
      <c r="K4140" s="109">
        <v>0.98689956331877726</v>
      </c>
      <c r="L4140" s="159">
        <v>3</v>
      </c>
      <c r="M4140" s="109">
        <v>0.66700000000000004</v>
      </c>
      <c r="N4140" s="109">
        <v>0.40620000000000001</v>
      </c>
    </row>
    <row r="4141" spans="1:14">
      <c r="A4141" s="56" t="s">
        <v>183</v>
      </c>
      <c r="B4141" s="14" t="s">
        <v>66</v>
      </c>
      <c r="C4141" s="14" t="s">
        <v>199</v>
      </c>
      <c r="D4141" s="14">
        <v>2017</v>
      </c>
      <c r="E4141" s="14">
        <v>2018</v>
      </c>
      <c r="F4141" s="14" t="s">
        <v>265</v>
      </c>
      <c r="G4141" s="112">
        <v>1984163</v>
      </c>
      <c r="H4141" s="115">
        <v>4072212</v>
      </c>
      <c r="I4141" s="108"/>
      <c r="J4141" s="109">
        <v>0.97550913496169211</v>
      </c>
      <c r="K4141" s="109">
        <v>0.92604160751131048</v>
      </c>
      <c r="L4141" s="159"/>
      <c r="M4141" s="109"/>
      <c r="N4141" s="109"/>
    </row>
    <row r="4142" spans="1:14">
      <c r="A4142" s="56" t="s">
        <v>184</v>
      </c>
      <c r="B4142" s="14" t="s">
        <v>77</v>
      </c>
      <c r="C4142" s="14" t="s">
        <v>199</v>
      </c>
      <c r="D4142" s="14">
        <v>2017</v>
      </c>
      <c r="E4142" s="14">
        <v>2018</v>
      </c>
      <c r="F4142" s="14" t="s">
        <v>265</v>
      </c>
      <c r="G4142" s="112">
        <v>56882</v>
      </c>
      <c r="H4142" s="115">
        <v>106861</v>
      </c>
      <c r="I4142" s="108"/>
      <c r="J4142" s="30" t="s">
        <v>66</v>
      </c>
      <c r="K4142" s="30" t="s">
        <v>66</v>
      </c>
      <c r="L4142" s="159"/>
      <c r="M4142" s="109"/>
      <c r="N4142" s="109"/>
    </row>
    <row r="4143" spans="1:14">
      <c r="A4143" s="56" t="s">
        <v>185</v>
      </c>
      <c r="B4143" s="14" t="s">
        <v>78</v>
      </c>
      <c r="C4143" s="14" t="s">
        <v>199</v>
      </c>
      <c r="D4143" s="14">
        <v>2017</v>
      </c>
      <c r="E4143" s="14">
        <v>2018</v>
      </c>
      <c r="F4143" s="14" t="s">
        <v>265</v>
      </c>
      <c r="G4143" s="112">
        <v>81</v>
      </c>
      <c r="H4143" s="115">
        <v>144</v>
      </c>
      <c r="I4143" s="108"/>
      <c r="J4143" s="109">
        <v>1</v>
      </c>
      <c r="K4143" s="109">
        <v>1</v>
      </c>
      <c r="L4143" s="159"/>
      <c r="M4143" s="109"/>
      <c r="N4143" s="109"/>
    </row>
    <row r="4144" spans="1:14">
      <c r="A4144" s="56" t="s">
        <v>186</v>
      </c>
      <c r="B4144" s="14" t="s">
        <v>78</v>
      </c>
      <c r="C4144" s="14" t="s">
        <v>199</v>
      </c>
      <c r="D4144" s="14">
        <v>2017</v>
      </c>
      <c r="E4144" s="14">
        <v>2018</v>
      </c>
      <c r="F4144" s="14" t="s">
        <v>265</v>
      </c>
      <c r="G4144" s="112">
        <v>1608</v>
      </c>
      <c r="H4144" s="115">
        <v>2931</v>
      </c>
      <c r="I4144" s="108"/>
      <c r="J4144" s="109">
        <v>0.98461538461538467</v>
      </c>
      <c r="K4144" s="109">
        <v>0.95652173913043481</v>
      </c>
      <c r="L4144" s="159"/>
      <c r="M4144" s="109"/>
      <c r="N4144" s="109"/>
    </row>
    <row r="4145" spans="1:14">
      <c r="A4145" s="56" t="s">
        <v>187</v>
      </c>
      <c r="B4145" s="14" t="s">
        <v>78</v>
      </c>
      <c r="C4145" s="14" t="s">
        <v>199</v>
      </c>
      <c r="D4145" s="14">
        <v>2017</v>
      </c>
      <c r="E4145" s="14">
        <v>2018</v>
      </c>
      <c r="F4145" s="14" t="s">
        <v>265</v>
      </c>
      <c r="G4145" s="112">
        <v>16760</v>
      </c>
      <c r="H4145" s="115">
        <v>30879</v>
      </c>
      <c r="I4145" s="108"/>
      <c r="J4145" s="109">
        <v>0.85465116279069764</v>
      </c>
      <c r="K4145" s="109">
        <v>0.95049504950495045</v>
      </c>
      <c r="L4145" s="159"/>
      <c r="M4145" s="109"/>
      <c r="N4145" s="109"/>
    </row>
    <row r="4146" spans="1:14">
      <c r="A4146" s="56" t="s">
        <v>188</v>
      </c>
      <c r="B4146" s="14" t="s">
        <v>78</v>
      </c>
      <c r="C4146" s="14" t="s">
        <v>199</v>
      </c>
      <c r="D4146" s="14">
        <v>2017</v>
      </c>
      <c r="E4146" s="14">
        <v>2018</v>
      </c>
      <c r="F4146" s="14" t="s">
        <v>265</v>
      </c>
      <c r="G4146" s="112">
        <v>2742</v>
      </c>
      <c r="H4146" s="115">
        <v>4961</v>
      </c>
      <c r="I4146" s="108"/>
      <c r="J4146" s="109">
        <v>0.97619047619047616</v>
      </c>
      <c r="K4146" s="109">
        <v>0.95402298850574707</v>
      </c>
      <c r="L4146" s="159"/>
      <c r="M4146" s="109"/>
      <c r="N4146" s="109"/>
    </row>
    <row r="4147" spans="1:14">
      <c r="A4147" s="56" t="s">
        <v>189</v>
      </c>
      <c r="B4147" s="14" t="s">
        <v>78</v>
      </c>
      <c r="C4147" s="14" t="s">
        <v>199</v>
      </c>
      <c r="D4147" s="14">
        <v>2017</v>
      </c>
      <c r="E4147" s="14">
        <v>2018</v>
      </c>
      <c r="F4147" s="14" t="s">
        <v>265</v>
      </c>
      <c r="G4147" s="112">
        <v>661</v>
      </c>
      <c r="H4147" s="115">
        <v>1437</v>
      </c>
      <c r="I4147" s="108"/>
      <c r="J4147" s="109">
        <v>0.8928571428571429</v>
      </c>
      <c r="K4147" s="109">
        <v>0.84</v>
      </c>
      <c r="L4147" s="159"/>
      <c r="M4147" s="109"/>
      <c r="N4147" s="109"/>
    </row>
    <row r="4148" spans="1:14">
      <c r="A4148" s="56" t="s">
        <v>190</v>
      </c>
      <c r="B4148" s="14" t="s">
        <v>77</v>
      </c>
      <c r="C4148" s="14" t="s">
        <v>199</v>
      </c>
      <c r="D4148" s="14">
        <v>2017</v>
      </c>
      <c r="E4148" s="14">
        <v>2018</v>
      </c>
      <c r="F4148" s="14" t="s">
        <v>265</v>
      </c>
      <c r="G4148" s="112">
        <v>31599</v>
      </c>
      <c r="H4148" s="115">
        <v>63001</v>
      </c>
      <c r="I4148" s="108"/>
      <c r="J4148" s="109">
        <v>0.97779922779922779</v>
      </c>
      <c r="K4148" s="109">
        <v>0.95546558704453444</v>
      </c>
      <c r="L4148" s="159"/>
      <c r="M4148" s="109"/>
      <c r="N4148" s="109"/>
    </row>
    <row r="4149" spans="1:14">
      <c r="A4149" s="56" t="s">
        <v>191</v>
      </c>
      <c r="B4149" s="14" t="s">
        <v>78</v>
      </c>
      <c r="C4149" s="14" t="s">
        <v>199</v>
      </c>
      <c r="D4149" s="14">
        <v>2017</v>
      </c>
      <c r="E4149" s="14">
        <v>2018</v>
      </c>
      <c r="F4149" s="14" t="s">
        <v>265</v>
      </c>
      <c r="G4149" s="112">
        <v>2595</v>
      </c>
      <c r="H4149" s="115">
        <v>5241</v>
      </c>
      <c r="I4149" s="108"/>
      <c r="J4149" s="109">
        <v>1</v>
      </c>
      <c r="K4149" s="109">
        <v>0.96</v>
      </c>
      <c r="L4149" s="159"/>
      <c r="M4149" s="109"/>
      <c r="N4149" s="109"/>
    </row>
    <row r="4150" spans="1:14">
      <c r="A4150" s="56" t="s">
        <v>192</v>
      </c>
      <c r="B4150" s="14" t="s">
        <v>78</v>
      </c>
      <c r="C4150" s="14" t="s">
        <v>199</v>
      </c>
      <c r="D4150" s="14">
        <v>2017</v>
      </c>
      <c r="E4150" s="14">
        <v>2018</v>
      </c>
      <c r="F4150" s="14" t="s">
        <v>265</v>
      </c>
      <c r="G4150" s="112">
        <v>6537</v>
      </c>
      <c r="H4150" s="115">
        <v>14754</v>
      </c>
      <c r="I4150" s="108"/>
      <c r="J4150" s="109">
        <v>0.97587131367292224</v>
      </c>
      <c r="K4150" s="109">
        <v>0.97454545454545449</v>
      </c>
      <c r="L4150" s="159"/>
      <c r="M4150" s="109"/>
      <c r="N4150" s="109"/>
    </row>
    <row r="4151" spans="1:14">
      <c r="A4151" s="106" t="s">
        <v>134</v>
      </c>
      <c r="B4151" s="14" t="s">
        <v>77</v>
      </c>
      <c r="C4151" s="14" t="s">
        <v>199</v>
      </c>
      <c r="D4151" s="14">
        <v>2017</v>
      </c>
      <c r="E4151" s="14">
        <v>2018</v>
      </c>
      <c r="F4151" s="14" t="s">
        <v>265</v>
      </c>
      <c r="G4151" s="112">
        <v>89108</v>
      </c>
      <c r="H4151" s="115">
        <v>205161</v>
      </c>
      <c r="I4151" s="108"/>
      <c r="J4151" s="109">
        <v>0.93252688172043008</v>
      </c>
      <c r="K4151" s="109">
        <v>0.93739612188365651</v>
      </c>
      <c r="L4151" s="159"/>
      <c r="M4151" s="109"/>
      <c r="N4151" s="109"/>
    </row>
    <row r="4152" spans="1:14">
      <c r="A4152" s="106" t="s">
        <v>135</v>
      </c>
      <c r="B4152" s="14" t="s">
        <v>78</v>
      </c>
      <c r="C4152" s="14" t="s">
        <v>199</v>
      </c>
      <c r="D4152" s="14">
        <v>2017</v>
      </c>
      <c r="E4152" s="14">
        <v>2018</v>
      </c>
      <c r="F4152" s="14" t="s">
        <v>265</v>
      </c>
      <c r="G4152" s="112">
        <v>1474</v>
      </c>
      <c r="H4152" s="115">
        <v>3392</v>
      </c>
      <c r="I4152" s="108"/>
      <c r="J4152" s="109">
        <v>1</v>
      </c>
      <c r="K4152" s="109">
        <v>0.96969696969696972</v>
      </c>
      <c r="L4152" s="159"/>
      <c r="M4152" s="109"/>
      <c r="N4152" s="109"/>
    </row>
    <row r="4153" spans="1:14">
      <c r="A4153" s="106" t="s">
        <v>136</v>
      </c>
      <c r="B4153" s="14" t="s">
        <v>78</v>
      </c>
      <c r="C4153" s="14" t="s">
        <v>199</v>
      </c>
      <c r="D4153" s="14">
        <v>2017</v>
      </c>
      <c r="E4153" s="14">
        <v>2018</v>
      </c>
      <c r="F4153" s="14" t="s">
        <v>265</v>
      </c>
      <c r="G4153" s="112">
        <v>11974</v>
      </c>
      <c r="H4153" s="115">
        <v>20052</v>
      </c>
      <c r="I4153" s="108"/>
      <c r="J4153" s="109">
        <v>0.95604395604395609</v>
      </c>
      <c r="K4153" s="109">
        <v>0.9712918660287081</v>
      </c>
      <c r="L4153" s="159"/>
      <c r="M4153" s="109"/>
      <c r="N4153" s="109"/>
    </row>
    <row r="4154" spans="1:14">
      <c r="A4154" s="106" t="s">
        <v>137</v>
      </c>
      <c r="B4154" s="14" t="s">
        <v>78</v>
      </c>
      <c r="C4154" s="14" t="s">
        <v>199</v>
      </c>
      <c r="D4154" s="14">
        <v>2017</v>
      </c>
      <c r="E4154" s="14">
        <v>2018</v>
      </c>
      <c r="F4154" s="14" t="s">
        <v>265</v>
      </c>
      <c r="G4154" s="112">
        <v>17347</v>
      </c>
      <c r="H4154" s="115">
        <v>41831</v>
      </c>
      <c r="I4154" s="108"/>
      <c r="J4154" s="109">
        <v>0.98640483383685795</v>
      </c>
      <c r="K4154" s="109">
        <v>0.93394077448747148</v>
      </c>
      <c r="L4154" s="159"/>
      <c r="M4154" s="109"/>
      <c r="N4154" s="109"/>
    </row>
    <row r="4155" spans="1:14">
      <c r="A4155" s="106" t="s">
        <v>138</v>
      </c>
      <c r="B4155" s="14" t="s">
        <v>78</v>
      </c>
      <c r="C4155" s="14" t="s">
        <v>199</v>
      </c>
      <c r="D4155" s="14">
        <v>2017</v>
      </c>
      <c r="E4155" s="14">
        <v>2018</v>
      </c>
      <c r="F4155" s="14" t="s">
        <v>265</v>
      </c>
      <c r="G4155" s="112">
        <v>996</v>
      </c>
      <c r="H4155" s="115">
        <v>1928</v>
      </c>
      <c r="I4155" s="108"/>
      <c r="J4155" s="109">
        <v>1</v>
      </c>
      <c r="K4155" s="109">
        <v>0.73333333333333328</v>
      </c>
      <c r="L4155" s="159"/>
      <c r="M4155" s="109"/>
      <c r="N4155" s="109"/>
    </row>
    <row r="4156" spans="1:14">
      <c r="A4156" s="106" t="s">
        <v>139</v>
      </c>
      <c r="B4156" s="14" t="s">
        <v>78</v>
      </c>
      <c r="C4156" s="14" t="s">
        <v>199</v>
      </c>
      <c r="D4156" s="14">
        <v>2017</v>
      </c>
      <c r="E4156" s="14">
        <v>2018</v>
      </c>
      <c r="F4156" s="14" t="s">
        <v>265</v>
      </c>
      <c r="G4156" s="112">
        <v>68295</v>
      </c>
      <c r="H4156" s="115">
        <v>157260</v>
      </c>
      <c r="I4156" s="108"/>
      <c r="J4156" s="109">
        <v>0.9883300916921367</v>
      </c>
      <c r="K4156" s="109">
        <v>0.93522093522093519</v>
      </c>
      <c r="L4156" s="159"/>
      <c r="M4156" s="109"/>
      <c r="N4156" s="109"/>
    </row>
    <row r="4157" spans="1:14">
      <c r="A4157" s="106" t="s">
        <v>140</v>
      </c>
      <c r="B4157" s="14" t="s">
        <v>78</v>
      </c>
      <c r="C4157" s="14" t="s">
        <v>199</v>
      </c>
      <c r="D4157" s="14">
        <v>2017</v>
      </c>
      <c r="E4157" s="14">
        <v>2018</v>
      </c>
      <c r="F4157" s="14" t="s">
        <v>265</v>
      </c>
      <c r="G4157" s="112">
        <v>10567</v>
      </c>
      <c r="H4157" s="115">
        <v>23576</v>
      </c>
      <c r="I4157" s="108"/>
      <c r="J4157" s="109">
        <v>0.9932659932659933</v>
      </c>
      <c r="K4157" s="109">
        <v>0.92079207920792083</v>
      </c>
      <c r="L4157" s="159"/>
      <c r="M4157" s="109"/>
      <c r="N4157" s="109"/>
    </row>
    <row r="4158" spans="1:14">
      <c r="A4158" s="106" t="s">
        <v>141</v>
      </c>
      <c r="B4158" s="14" t="s">
        <v>78</v>
      </c>
      <c r="C4158" s="14" t="s">
        <v>199</v>
      </c>
      <c r="D4158" s="14">
        <v>2017</v>
      </c>
      <c r="E4158" s="14">
        <v>2018</v>
      </c>
      <c r="F4158" s="14" t="s">
        <v>265</v>
      </c>
      <c r="G4158" s="112">
        <v>6355</v>
      </c>
      <c r="H4158" s="115">
        <v>11708</v>
      </c>
      <c r="I4158" s="108"/>
      <c r="J4158" s="109">
        <v>0.93569131832797425</v>
      </c>
      <c r="K4158" s="109">
        <v>0.82954545454545459</v>
      </c>
      <c r="L4158" s="159"/>
      <c r="M4158" s="109"/>
      <c r="N4158" s="109"/>
    </row>
    <row r="4159" spans="1:14">
      <c r="A4159" s="106" t="s">
        <v>142</v>
      </c>
      <c r="B4159" s="14" t="s">
        <v>78</v>
      </c>
      <c r="C4159" s="14" t="s">
        <v>199</v>
      </c>
      <c r="D4159" s="14">
        <v>2017</v>
      </c>
      <c r="E4159" s="14">
        <v>2018</v>
      </c>
      <c r="F4159" s="14" t="s">
        <v>265</v>
      </c>
      <c r="G4159" s="112">
        <v>1517</v>
      </c>
      <c r="H4159" s="115">
        <v>3078</v>
      </c>
      <c r="I4159" s="108"/>
      <c r="J4159" s="109">
        <v>0.93827160493827155</v>
      </c>
      <c r="K4159" s="109">
        <v>0.92307692307692313</v>
      </c>
      <c r="L4159" s="159"/>
      <c r="M4159" s="109"/>
      <c r="N4159" s="109"/>
    </row>
    <row r="4160" spans="1:14">
      <c r="A4160" s="106" t="s">
        <v>143</v>
      </c>
      <c r="B4160" s="14" t="s">
        <v>79</v>
      </c>
      <c r="C4160" s="14" t="s">
        <v>199</v>
      </c>
      <c r="D4160" s="14">
        <v>2017</v>
      </c>
      <c r="E4160" s="14">
        <v>2018</v>
      </c>
      <c r="F4160" s="14" t="s">
        <v>265</v>
      </c>
      <c r="G4160" s="112">
        <v>550866</v>
      </c>
      <c r="H4160" s="115">
        <v>1095209</v>
      </c>
      <c r="I4160" s="108"/>
      <c r="J4160" s="109">
        <v>0.98733224222585925</v>
      </c>
      <c r="K4160" s="109">
        <v>0.91171253357660531</v>
      </c>
      <c r="L4160" s="159"/>
      <c r="M4160" s="109"/>
      <c r="N4160" s="109"/>
    </row>
    <row r="4161" spans="1:14">
      <c r="A4161" s="106" t="s">
        <v>144</v>
      </c>
      <c r="B4161" s="14" t="s">
        <v>78</v>
      </c>
      <c r="C4161" s="14" t="s">
        <v>199</v>
      </c>
      <c r="D4161" s="14">
        <v>2017</v>
      </c>
      <c r="E4161" s="14">
        <v>2018</v>
      </c>
      <c r="F4161" s="14" t="s">
        <v>265</v>
      </c>
      <c r="G4161" s="112">
        <v>11235</v>
      </c>
      <c r="H4161" s="115">
        <v>27232</v>
      </c>
      <c r="I4161" s="108"/>
      <c r="J4161" s="109">
        <v>0.99027237354085607</v>
      </c>
      <c r="K4161" s="109">
        <v>0.98442367601246106</v>
      </c>
      <c r="L4161" s="159"/>
      <c r="M4161" s="109"/>
      <c r="N4161" s="109"/>
    </row>
    <row r="4162" spans="1:14">
      <c r="A4162" s="106" t="s">
        <v>145</v>
      </c>
      <c r="B4162" s="14" t="s">
        <v>78</v>
      </c>
      <c r="C4162" s="14" t="s">
        <v>199</v>
      </c>
      <c r="D4162" s="14">
        <v>2017</v>
      </c>
      <c r="E4162" s="14">
        <v>2018</v>
      </c>
      <c r="F4162" s="14" t="s">
        <v>265</v>
      </c>
      <c r="G4162" s="112">
        <v>5936</v>
      </c>
      <c r="H4162" s="115">
        <v>9785</v>
      </c>
      <c r="I4162" s="108"/>
      <c r="J4162" s="109">
        <v>0.9563636363636363</v>
      </c>
      <c r="K4162" s="109">
        <v>0.91443850267379678</v>
      </c>
      <c r="L4162" s="159"/>
      <c r="M4162" s="109"/>
      <c r="N4162" s="109"/>
    </row>
    <row r="4163" spans="1:14">
      <c r="A4163" s="106" t="s">
        <v>146</v>
      </c>
      <c r="B4163" s="14" t="s">
        <v>78</v>
      </c>
      <c r="C4163" s="14" t="s">
        <v>199</v>
      </c>
      <c r="D4163" s="14">
        <v>2017</v>
      </c>
      <c r="E4163" s="14">
        <v>2018</v>
      </c>
      <c r="F4163" s="14" t="s">
        <v>265</v>
      </c>
      <c r="G4163" s="112">
        <v>1017</v>
      </c>
      <c r="H4163" s="115">
        <v>1878</v>
      </c>
      <c r="I4163" s="108"/>
      <c r="J4163" s="109">
        <v>0.97727272727272729</v>
      </c>
      <c r="K4163" s="109">
        <v>0.96875</v>
      </c>
      <c r="L4163" s="159"/>
      <c r="M4163" s="109"/>
      <c r="N4163" s="109"/>
    </row>
    <row r="4164" spans="1:14">
      <c r="A4164" s="106" t="s">
        <v>147</v>
      </c>
      <c r="B4164" s="14" t="s">
        <v>78</v>
      </c>
      <c r="C4164" s="14" t="s">
        <v>199</v>
      </c>
      <c r="D4164" s="14">
        <v>2017</v>
      </c>
      <c r="E4164" s="14">
        <v>2018</v>
      </c>
      <c r="F4164" s="14" t="s">
        <v>265</v>
      </c>
      <c r="G4164" s="112">
        <v>6284</v>
      </c>
      <c r="H4164" s="115">
        <v>11584</v>
      </c>
      <c r="I4164" s="108"/>
      <c r="J4164" s="109">
        <v>0.93279569892473124</v>
      </c>
      <c r="K4164" s="109">
        <v>0.89451476793248941</v>
      </c>
      <c r="L4164" s="159"/>
      <c r="M4164" s="109"/>
      <c r="N4164" s="109"/>
    </row>
    <row r="4165" spans="1:14">
      <c r="A4165" s="106" t="s">
        <v>148</v>
      </c>
      <c r="B4165" s="14" t="s">
        <v>78</v>
      </c>
      <c r="C4165" s="14" t="s">
        <v>199</v>
      </c>
      <c r="D4165" s="14">
        <v>2017</v>
      </c>
      <c r="E4165" s="14">
        <v>2018</v>
      </c>
      <c r="F4165" s="14" t="s">
        <v>265</v>
      </c>
      <c r="G4165" s="112">
        <v>23042</v>
      </c>
      <c r="H4165" s="115">
        <v>53010</v>
      </c>
      <c r="I4165" s="108"/>
      <c r="J4165" s="109">
        <v>0.98543184183142563</v>
      </c>
      <c r="K4165" s="109">
        <v>0.97372262773722629</v>
      </c>
      <c r="L4165" s="159"/>
      <c r="M4165" s="30"/>
      <c r="N4165" s="109"/>
    </row>
    <row r="4166" spans="1:14">
      <c r="A4166" s="106" t="s">
        <v>149</v>
      </c>
      <c r="B4166" s="14" t="s">
        <v>78</v>
      </c>
      <c r="C4166" s="14" t="s">
        <v>199</v>
      </c>
      <c r="D4166" s="14">
        <v>2017</v>
      </c>
      <c r="E4166" s="14">
        <v>2018</v>
      </c>
      <c r="F4166" s="14" t="s">
        <v>265</v>
      </c>
      <c r="G4166" s="112">
        <v>569</v>
      </c>
      <c r="H4166" s="115">
        <v>1208</v>
      </c>
      <c r="I4166" s="108"/>
      <c r="J4166" s="109">
        <v>0.95454545454545459</v>
      </c>
      <c r="K4166" s="109">
        <v>0.9285714285714286</v>
      </c>
      <c r="L4166" s="159"/>
      <c r="M4166" s="109"/>
      <c r="N4166" s="109"/>
    </row>
    <row r="4167" spans="1:14">
      <c r="A4167" s="106" t="s">
        <v>150</v>
      </c>
      <c r="B4167" s="14" t="s">
        <v>78</v>
      </c>
      <c r="C4167" s="14" t="s">
        <v>199</v>
      </c>
      <c r="D4167" s="14">
        <v>2017</v>
      </c>
      <c r="E4167" s="14">
        <v>2018</v>
      </c>
      <c r="F4167" s="14" t="s">
        <v>265</v>
      </c>
      <c r="G4167" s="112">
        <v>398</v>
      </c>
      <c r="H4167" s="115">
        <v>681</v>
      </c>
      <c r="I4167" s="108"/>
      <c r="J4167" s="109">
        <v>1</v>
      </c>
      <c r="K4167" s="109">
        <v>0.91304347826086951</v>
      </c>
      <c r="L4167" s="159"/>
      <c r="M4167" s="109"/>
      <c r="N4167" s="109"/>
    </row>
    <row r="4168" spans="1:14">
      <c r="A4168" s="106" t="s">
        <v>151</v>
      </c>
      <c r="B4168" s="14" t="s">
        <v>78</v>
      </c>
      <c r="C4168" s="14" t="s">
        <v>199</v>
      </c>
      <c r="D4168" s="14">
        <v>2017</v>
      </c>
      <c r="E4168" s="14">
        <v>2018</v>
      </c>
      <c r="F4168" s="14" t="s">
        <v>265</v>
      </c>
      <c r="G4168" s="112">
        <v>18967</v>
      </c>
      <c r="H4168" s="115">
        <v>41385</v>
      </c>
      <c r="I4168" s="108"/>
      <c r="J4168" s="109">
        <v>0.97607655502392343</v>
      </c>
      <c r="K4168" s="109">
        <v>0.93886462882096067</v>
      </c>
      <c r="L4168" s="159"/>
      <c r="M4168" s="109"/>
      <c r="N4168" s="109"/>
    </row>
    <row r="4169" spans="1:14">
      <c r="A4169" s="106" t="s">
        <v>152</v>
      </c>
      <c r="B4169" s="14" t="s">
        <v>78</v>
      </c>
      <c r="C4169" s="14" t="s">
        <v>199</v>
      </c>
      <c r="D4169" s="14">
        <v>2017</v>
      </c>
      <c r="E4169" s="14">
        <v>2018</v>
      </c>
      <c r="F4169" s="14" t="s">
        <v>265</v>
      </c>
      <c r="G4169" s="112">
        <v>3032</v>
      </c>
      <c r="H4169" s="115">
        <v>6083</v>
      </c>
      <c r="I4169" s="108"/>
      <c r="J4169" s="109">
        <v>0.94067796610169496</v>
      </c>
      <c r="K4169" s="109">
        <v>0.92045454545454541</v>
      </c>
      <c r="L4169" s="159"/>
      <c r="M4169" s="109"/>
      <c r="N4169" s="109"/>
    </row>
    <row r="4170" spans="1:14">
      <c r="A4170" s="106" t="s">
        <v>153</v>
      </c>
      <c r="B4170" s="14" t="s">
        <v>78</v>
      </c>
      <c r="C4170" s="14" t="s">
        <v>199</v>
      </c>
      <c r="D4170" s="14">
        <v>2017</v>
      </c>
      <c r="E4170" s="14">
        <v>2018</v>
      </c>
      <c r="F4170" s="14" t="s">
        <v>265</v>
      </c>
      <c r="G4170" s="112">
        <v>4028</v>
      </c>
      <c r="H4170" s="115">
        <v>6959</v>
      </c>
      <c r="I4170" s="108"/>
      <c r="J4170" s="109">
        <v>0.82802547770700641</v>
      </c>
      <c r="K4170" s="109">
        <v>0.79166666666666663</v>
      </c>
      <c r="L4170" s="159"/>
      <c r="M4170" s="109"/>
      <c r="N4170" s="109"/>
    </row>
    <row r="4171" spans="1:14">
      <c r="A4171" s="106" t="s">
        <v>154</v>
      </c>
      <c r="B4171" s="14" t="s">
        <v>77</v>
      </c>
      <c r="C4171" s="14" t="s">
        <v>199</v>
      </c>
      <c r="D4171" s="14">
        <v>2017</v>
      </c>
      <c r="E4171" s="14">
        <v>2018</v>
      </c>
      <c r="F4171" s="14" t="s">
        <v>265</v>
      </c>
      <c r="G4171" s="112">
        <v>114309</v>
      </c>
      <c r="H4171" s="115">
        <v>230662</v>
      </c>
      <c r="I4171" s="108"/>
      <c r="J4171" s="109">
        <v>0.99272571673085153</v>
      </c>
      <c r="K4171" s="109">
        <v>0.99763593380614657</v>
      </c>
      <c r="L4171" s="159"/>
      <c r="M4171" s="109"/>
      <c r="N4171" s="109"/>
    </row>
    <row r="4172" spans="1:14">
      <c r="A4172" s="106" t="s">
        <v>155</v>
      </c>
      <c r="B4172" s="14" t="s">
        <v>77</v>
      </c>
      <c r="C4172" s="14" t="s">
        <v>199</v>
      </c>
      <c r="D4172" s="14">
        <v>2017</v>
      </c>
      <c r="E4172" s="14">
        <v>2018</v>
      </c>
      <c r="F4172" s="14" t="s">
        <v>265</v>
      </c>
      <c r="G4172" s="112">
        <v>8556</v>
      </c>
      <c r="H4172" s="115">
        <v>15948</v>
      </c>
      <c r="I4172" s="108"/>
      <c r="J4172" s="109">
        <v>0.98939929328621912</v>
      </c>
      <c r="K4172" s="109">
        <v>0.87614678899082565</v>
      </c>
      <c r="L4172" s="159"/>
      <c r="M4172" s="109"/>
      <c r="N4172" s="109"/>
    </row>
    <row r="4173" spans="1:14">
      <c r="A4173" s="106" t="s">
        <v>156</v>
      </c>
      <c r="B4173" s="14" t="s">
        <v>78</v>
      </c>
      <c r="C4173" s="14" t="s">
        <v>199</v>
      </c>
      <c r="D4173" s="14">
        <v>2017</v>
      </c>
      <c r="E4173" s="14">
        <v>2018</v>
      </c>
      <c r="F4173" s="14" t="s">
        <v>265</v>
      </c>
      <c r="G4173" s="112">
        <v>1143</v>
      </c>
      <c r="H4173" s="115">
        <v>2044</v>
      </c>
      <c r="I4173" s="108"/>
      <c r="J4173" s="109">
        <v>0.97499999999999998</v>
      </c>
      <c r="K4173" s="109">
        <v>0.90196078431372551</v>
      </c>
      <c r="L4173" s="159"/>
      <c r="M4173" s="109"/>
      <c r="N4173" s="109"/>
    </row>
    <row r="4174" spans="1:14">
      <c r="A4174" s="106" t="s">
        <v>157</v>
      </c>
      <c r="B4174" s="14" t="s">
        <v>78</v>
      </c>
      <c r="C4174" s="14" t="s">
        <v>199</v>
      </c>
      <c r="D4174" s="14">
        <v>2017</v>
      </c>
      <c r="E4174" s="14">
        <v>2018</v>
      </c>
      <c r="F4174" s="14" t="s">
        <v>265</v>
      </c>
      <c r="G4174" s="112">
        <v>122029</v>
      </c>
      <c r="H4174" s="115">
        <v>269026</v>
      </c>
      <c r="I4174" s="108"/>
      <c r="J4174" s="109">
        <v>0.98976691301876063</v>
      </c>
      <c r="K4174" s="109">
        <v>0.91644771413557535</v>
      </c>
      <c r="L4174" s="159"/>
      <c r="M4174" s="109"/>
      <c r="N4174" s="109"/>
    </row>
    <row r="4175" spans="1:14">
      <c r="A4175" s="106" t="s">
        <v>158</v>
      </c>
      <c r="B4175" s="14" t="s">
        <v>77</v>
      </c>
      <c r="C4175" s="14" t="s">
        <v>199</v>
      </c>
      <c r="D4175" s="14">
        <v>2017</v>
      </c>
      <c r="E4175" s="14">
        <v>2018</v>
      </c>
      <c r="F4175" s="14" t="s">
        <v>265</v>
      </c>
      <c r="G4175" s="112">
        <v>96860</v>
      </c>
      <c r="H4175" s="115">
        <v>203309</v>
      </c>
      <c r="I4175" s="108"/>
      <c r="J4175" s="109">
        <v>0.99256410256410255</v>
      </c>
      <c r="K4175" s="109">
        <v>0.9830409356725146</v>
      </c>
      <c r="L4175" s="159"/>
      <c r="M4175" s="109"/>
      <c r="N4175" s="109"/>
    </row>
    <row r="4176" spans="1:14">
      <c r="A4176" s="106" t="s">
        <v>159</v>
      </c>
      <c r="B4176" s="14" t="s">
        <v>78</v>
      </c>
      <c r="C4176" s="14" t="s">
        <v>199</v>
      </c>
      <c r="D4176" s="14">
        <v>2017</v>
      </c>
      <c r="E4176" s="14">
        <v>2018</v>
      </c>
      <c r="F4176" s="14" t="s">
        <v>265</v>
      </c>
      <c r="G4176" s="112">
        <v>2122</v>
      </c>
      <c r="H4176" s="115">
        <v>4653</v>
      </c>
      <c r="I4176" s="108"/>
      <c r="J4176" s="109">
        <v>0.98076923076923073</v>
      </c>
      <c r="K4176" s="109">
        <v>0.96</v>
      </c>
      <c r="L4176" s="159"/>
      <c r="M4176" s="109"/>
      <c r="N4176" s="109"/>
    </row>
    <row r="4177" spans="1:14">
      <c r="A4177" s="106" t="s">
        <v>160</v>
      </c>
      <c r="B4177" s="14" t="s">
        <v>78</v>
      </c>
      <c r="C4177" s="14" t="s">
        <v>199</v>
      </c>
      <c r="D4177" s="14">
        <v>2017</v>
      </c>
      <c r="E4177" s="14">
        <v>2018</v>
      </c>
      <c r="F4177" s="14" t="s">
        <v>265</v>
      </c>
      <c r="G4177" s="112">
        <v>163660</v>
      </c>
      <c r="H4177" s="115">
        <v>355714</v>
      </c>
      <c r="I4177" s="108"/>
      <c r="J4177" s="109">
        <v>0.99196428571428574</v>
      </c>
      <c r="K4177" s="109">
        <v>0.94368079419625817</v>
      </c>
      <c r="L4177" s="159"/>
      <c r="M4177" s="109"/>
      <c r="N4177" s="109"/>
    </row>
    <row r="4178" spans="1:14">
      <c r="A4178" s="106" t="s">
        <v>161</v>
      </c>
      <c r="B4178" s="14" t="s">
        <v>77</v>
      </c>
      <c r="C4178" s="14" t="s">
        <v>199</v>
      </c>
      <c r="D4178" s="14">
        <v>2017</v>
      </c>
      <c r="E4178" s="14">
        <v>2018</v>
      </c>
      <c r="F4178" s="14" t="s">
        <v>265</v>
      </c>
      <c r="G4178" s="112">
        <v>133643</v>
      </c>
      <c r="H4178" s="115">
        <v>267634</v>
      </c>
      <c r="I4178" s="108"/>
      <c r="J4178" s="109">
        <v>0.97622171203673336</v>
      </c>
      <c r="K4178" s="109">
        <v>0.95381715362865227</v>
      </c>
      <c r="L4178" s="159"/>
      <c r="M4178" s="109"/>
      <c r="N4178" s="109"/>
    </row>
    <row r="4179" spans="1:14">
      <c r="A4179" s="106" t="s">
        <v>162</v>
      </c>
      <c r="B4179" s="14" t="s">
        <v>77</v>
      </c>
      <c r="C4179" s="14" t="s">
        <v>199</v>
      </c>
      <c r="D4179" s="14">
        <v>2017</v>
      </c>
      <c r="E4179" s="14">
        <v>2018</v>
      </c>
      <c r="F4179" s="14" t="s">
        <v>265</v>
      </c>
      <c r="G4179" s="112">
        <v>33716</v>
      </c>
      <c r="H4179" s="115">
        <v>50406</v>
      </c>
      <c r="I4179" s="108"/>
      <c r="J4179" s="109">
        <v>0.97395079594790157</v>
      </c>
      <c r="K4179" s="109">
        <v>0.77488514548238896</v>
      </c>
      <c r="L4179" s="159"/>
      <c r="M4179" s="109"/>
      <c r="N4179" s="109"/>
    </row>
    <row r="4180" spans="1:14">
      <c r="A4180" s="106" t="s">
        <v>163</v>
      </c>
      <c r="B4180" s="14" t="s">
        <v>78</v>
      </c>
      <c r="C4180" s="14" t="s">
        <v>199</v>
      </c>
      <c r="D4180" s="14">
        <v>2017</v>
      </c>
      <c r="E4180" s="14">
        <v>2018</v>
      </c>
      <c r="F4180" s="14" t="s">
        <v>265</v>
      </c>
      <c r="G4180" s="112">
        <v>47203</v>
      </c>
      <c r="H4180" s="115">
        <v>104133</v>
      </c>
      <c r="I4180" s="108"/>
      <c r="J4180" s="109">
        <v>0.98077922077922075</v>
      </c>
      <c r="K4180" s="109">
        <v>0.92282696994313562</v>
      </c>
      <c r="L4180" s="159"/>
      <c r="M4180" s="109"/>
      <c r="N4180" s="109"/>
    </row>
    <row r="4181" spans="1:14">
      <c r="A4181" s="106" t="s">
        <v>164</v>
      </c>
      <c r="B4181" s="14" t="s">
        <v>77</v>
      </c>
      <c r="C4181" s="14" t="s">
        <v>199</v>
      </c>
      <c r="D4181" s="14">
        <v>2017</v>
      </c>
      <c r="E4181" s="14">
        <v>2018</v>
      </c>
      <c r="F4181" s="14" t="s">
        <v>265</v>
      </c>
      <c r="G4181" s="112">
        <v>9383</v>
      </c>
      <c r="H4181" s="115">
        <v>16589</v>
      </c>
      <c r="I4181" s="108"/>
      <c r="J4181" s="109">
        <v>0.95354523227383858</v>
      </c>
      <c r="K4181" s="109">
        <v>0.95670995670995673</v>
      </c>
      <c r="L4181" s="159"/>
      <c r="M4181" s="109"/>
      <c r="N4181" s="109"/>
    </row>
    <row r="4182" spans="1:14">
      <c r="A4182" s="106" t="s">
        <v>165</v>
      </c>
      <c r="B4182" s="14" t="s">
        <v>77</v>
      </c>
      <c r="C4182" s="14" t="s">
        <v>199</v>
      </c>
      <c r="D4182" s="14">
        <v>2017</v>
      </c>
      <c r="E4182" s="14">
        <v>2018</v>
      </c>
      <c r="F4182" s="14" t="s">
        <v>265</v>
      </c>
      <c r="G4182" s="112">
        <v>13159</v>
      </c>
      <c r="H4182" s="115">
        <v>25032</v>
      </c>
      <c r="I4182" s="108"/>
      <c r="J4182" s="109">
        <v>0.96129032258064517</v>
      </c>
      <c r="K4182" s="109">
        <v>0.87687687687687688</v>
      </c>
      <c r="L4182" s="159"/>
      <c r="M4182" s="109"/>
      <c r="N4182" s="109"/>
    </row>
    <row r="4183" spans="1:14">
      <c r="A4183" s="106" t="s">
        <v>166</v>
      </c>
      <c r="B4183" s="14" t="s">
        <v>77</v>
      </c>
      <c r="C4183" s="14" t="s">
        <v>199</v>
      </c>
      <c r="D4183" s="14">
        <v>2017</v>
      </c>
      <c r="E4183" s="14">
        <v>2018</v>
      </c>
      <c r="F4183" s="14" t="s">
        <v>265</v>
      </c>
      <c r="G4183" s="112">
        <v>18746</v>
      </c>
      <c r="H4183" s="115">
        <v>36938</v>
      </c>
      <c r="I4183" s="108"/>
      <c r="J4183" s="109">
        <v>0.92307692307692313</v>
      </c>
      <c r="K4183" s="109">
        <v>0.86402266288951846</v>
      </c>
      <c r="L4183" s="159"/>
      <c r="M4183" s="109"/>
      <c r="N4183" s="109"/>
    </row>
    <row r="4184" spans="1:14">
      <c r="A4184" s="106" t="s">
        <v>167</v>
      </c>
      <c r="B4184" s="14" t="s">
        <v>77</v>
      </c>
      <c r="C4184" s="14" t="s">
        <v>199</v>
      </c>
      <c r="D4184" s="14">
        <v>2017</v>
      </c>
      <c r="E4184" s="14">
        <v>2018</v>
      </c>
      <c r="F4184" s="14" t="s">
        <v>265</v>
      </c>
      <c r="G4184" s="112">
        <v>45866</v>
      </c>
      <c r="H4184" s="115">
        <v>88372</v>
      </c>
      <c r="I4184" s="108"/>
      <c r="J4184" s="109">
        <v>0.98588957055214721</v>
      </c>
      <c r="K4184" s="109">
        <v>0.9536842105263158</v>
      </c>
      <c r="L4184" s="159"/>
      <c r="M4184" s="109"/>
      <c r="N4184" s="109"/>
    </row>
    <row r="4185" spans="1:14">
      <c r="A4185" s="106" t="s">
        <v>168</v>
      </c>
      <c r="B4185" s="14" t="s">
        <v>77</v>
      </c>
      <c r="C4185" s="14" t="s">
        <v>199</v>
      </c>
      <c r="D4185" s="14">
        <v>2017</v>
      </c>
      <c r="E4185" s="14">
        <v>2018</v>
      </c>
      <c r="F4185" s="14" t="s">
        <v>265</v>
      </c>
      <c r="G4185" s="112">
        <v>14109</v>
      </c>
      <c r="H4185" s="115">
        <v>24996</v>
      </c>
      <c r="I4185" s="108"/>
      <c r="J4185" s="109">
        <v>0.94713656387665202</v>
      </c>
      <c r="K4185" s="109">
        <v>0.92543859649122806</v>
      </c>
      <c r="L4185" s="159"/>
      <c r="M4185" s="109"/>
      <c r="N4185" s="109"/>
    </row>
    <row r="4186" spans="1:14">
      <c r="A4186" s="106" t="s">
        <v>169</v>
      </c>
      <c r="B4186" s="14" t="s">
        <v>78</v>
      </c>
      <c r="C4186" s="14" t="s">
        <v>199</v>
      </c>
      <c r="D4186" s="14">
        <v>2017</v>
      </c>
      <c r="E4186" s="14">
        <v>2018</v>
      </c>
      <c r="F4186" s="14" t="s">
        <v>265</v>
      </c>
      <c r="G4186" s="112">
        <v>12256</v>
      </c>
      <c r="H4186" s="115">
        <v>22878</v>
      </c>
      <c r="I4186" s="108"/>
      <c r="J4186" s="109">
        <v>0.94385964912280707</v>
      </c>
      <c r="K4186" s="109">
        <v>0.95283018867924529</v>
      </c>
      <c r="L4186" s="159"/>
      <c r="M4186" s="109"/>
      <c r="N4186" s="109"/>
    </row>
    <row r="4187" spans="1:14">
      <c r="A4187" s="106" t="s">
        <v>170</v>
      </c>
      <c r="B4187" s="14" t="s">
        <v>78</v>
      </c>
      <c r="C4187" s="14" t="s">
        <v>199</v>
      </c>
      <c r="D4187" s="14">
        <v>2017</v>
      </c>
      <c r="E4187" s="14">
        <v>2018</v>
      </c>
      <c r="F4187" s="14" t="s">
        <v>265</v>
      </c>
      <c r="G4187" s="112">
        <v>158</v>
      </c>
      <c r="H4187" s="115">
        <v>271</v>
      </c>
      <c r="I4187" s="108"/>
      <c r="J4187" s="109">
        <v>1</v>
      </c>
      <c r="K4187" s="109">
        <v>0.75</v>
      </c>
      <c r="L4187" s="159"/>
      <c r="M4187" s="109"/>
      <c r="N4187" s="109"/>
    </row>
    <row r="4188" spans="1:14">
      <c r="A4188" s="106" t="s">
        <v>171</v>
      </c>
      <c r="B4188" s="14" t="s">
        <v>78</v>
      </c>
      <c r="C4188" s="14" t="s">
        <v>199</v>
      </c>
      <c r="D4188" s="14">
        <v>2017</v>
      </c>
      <c r="E4188" s="14">
        <v>2018</v>
      </c>
      <c r="F4188" s="14" t="s">
        <v>265</v>
      </c>
      <c r="G4188" s="112">
        <v>3048</v>
      </c>
      <c r="H4188" s="115">
        <v>6221</v>
      </c>
      <c r="I4188" s="108"/>
      <c r="J4188" s="109">
        <v>0.96899224806201545</v>
      </c>
      <c r="K4188" s="109">
        <v>0.86458333333333337</v>
      </c>
      <c r="L4188" s="159"/>
      <c r="M4188" s="109"/>
      <c r="N4188" s="109"/>
    </row>
    <row r="4189" spans="1:14">
      <c r="A4189" s="106" t="s">
        <v>172</v>
      </c>
      <c r="B4189" s="14" t="s">
        <v>77</v>
      </c>
      <c r="C4189" s="14" t="s">
        <v>199</v>
      </c>
      <c r="D4189" s="14">
        <v>2017</v>
      </c>
      <c r="E4189" s="14">
        <v>2018</v>
      </c>
      <c r="F4189" s="14" t="s">
        <v>265</v>
      </c>
      <c r="G4189" s="112">
        <v>20868</v>
      </c>
      <c r="H4189" s="115">
        <v>38995</v>
      </c>
      <c r="I4189" s="108"/>
      <c r="J4189" s="109">
        <v>0.98294762484774667</v>
      </c>
      <c r="K4189" s="109">
        <v>0.96420581655480986</v>
      </c>
      <c r="L4189" s="159"/>
      <c r="M4189" s="109"/>
      <c r="N4189" s="109"/>
    </row>
    <row r="4190" spans="1:14">
      <c r="A4190" s="106" t="s">
        <v>173</v>
      </c>
      <c r="B4190" s="14" t="s">
        <v>77</v>
      </c>
      <c r="C4190" s="14" t="s">
        <v>199</v>
      </c>
      <c r="D4190" s="14">
        <v>2017</v>
      </c>
      <c r="E4190" s="14">
        <v>2018</v>
      </c>
      <c r="F4190" s="14" t="s">
        <v>265</v>
      </c>
      <c r="G4190" s="112">
        <v>17414</v>
      </c>
      <c r="H4190" s="115">
        <v>30149</v>
      </c>
      <c r="I4190" s="108"/>
      <c r="J4190" s="109">
        <v>0.93075356415478616</v>
      </c>
      <c r="K4190" s="109">
        <v>0.52291105121293802</v>
      </c>
      <c r="L4190" s="159"/>
      <c r="M4190" s="109"/>
      <c r="N4190" s="109"/>
    </row>
    <row r="4191" spans="1:14">
      <c r="A4191" s="106" t="s">
        <v>174</v>
      </c>
      <c r="B4191" s="14" t="s">
        <v>78</v>
      </c>
      <c r="C4191" s="14" t="s">
        <v>199</v>
      </c>
      <c r="D4191" s="14">
        <v>2017</v>
      </c>
      <c r="E4191" s="14">
        <v>2018</v>
      </c>
      <c r="F4191" s="14" t="s">
        <v>265</v>
      </c>
      <c r="G4191" s="112">
        <v>38782</v>
      </c>
      <c r="H4191" s="115">
        <v>80667</v>
      </c>
      <c r="I4191" s="108"/>
      <c r="J4191" s="109">
        <v>0.96389496717724288</v>
      </c>
      <c r="K4191" s="109">
        <v>0.94417862838915467</v>
      </c>
      <c r="L4191" s="159"/>
      <c r="M4191" s="109"/>
      <c r="N4191" s="109"/>
    </row>
    <row r="4192" spans="1:14">
      <c r="A4192" s="106" t="s">
        <v>175</v>
      </c>
      <c r="B4192" s="14" t="s">
        <v>78</v>
      </c>
      <c r="C4192" s="14" t="s">
        <v>199</v>
      </c>
      <c r="D4192" s="14">
        <v>2017</v>
      </c>
      <c r="E4192" s="14">
        <v>2018</v>
      </c>
      <c r="F4192" s="14" t="s">
        <v>265</v>
      </c>
      <c r="G4192" s="112">
        <v>5301</v>
      </c>
      <c r="H4192" s="115">
        <v>12071</v>
      </c>
      <c r="I4192" s="108"/>
      <c r="J4192" s="109">
        <v>0.95726495726495731</v>
      </c>
      <c r="K4192" s="109">
        <v>0.92737430167597767</v>
      </c>
      <c r="L4192" s="159"/>
      <c r="M4192" s="109"/>
      <c r="N4192" s="109"/>
    </row>
    <row r="4193" spans="1:14">
      <c r="A4193" s="106" t="s">
        <v>176</v>
      </c>
      <c r="B4193" s="14" t="s">
        <v>78</v>
      </c>
      <c r="C4193" s="14" t="s">
        <v>199</v>
      </c>
      <c r="D4193" s="14">
        <v>2017</v>
      </c>
      <c r="E4193" s="14">
        <v>2018</v>
      </c>
      <c r="F4193" s="14" t="s">
        <v>265</v>
      </c>
      <c r="G4193" s="112">
        <v>4138</v>
      </c>
      <c r="H4193" s="115">
        <v>8887</v>
      </c>
      <c r="I4193" s="108"/>
      <c r="J4193" s="109">
        <v>0.91752577319587625</v>
      </c>
      <c r="K4193" s="109">
        <v>0.97014925373134331</v>
      </c>
      <c r="L4193" s="159"/>
      <c r="M4193" s="109"/>
      <c r="N4193" s="109"/>
    </row>
    <row r="4194" spans="1:14">
      <c r="A4194" s="106" t="s">
        <v>177</v>
      </c>
      <c r="B4194" s="14" t="s">
        <v>78</v>
      </c>
      <c r="C4194" s="14" t="s">
        <v>199</v>
      </c>
      <c r="D4194" s="14">
        <v>2017</v>
      </c>
      <c r="E4194" s="14">
        <v>2018</v>
      </c>
      <c r="F4194" s="14" t="s">
        <v>265</v>
      </c>
      <c r="G4194" s="112">
        <v>973</v>
      </c>
      <c r="H4194" s="115">
        <v>1680</v>
      </c>
      <c r="I4194" s="108"/>
      <c r="J4194" s="109">
        <v>1</v>
      </c>
      <c r="K4194" s="109">
        <v>0.78048780487804881</v>
      </c>
      <c r="L4194" s="159"/>
      <c r="M4194" s="109"/>
      <c r="N4194" s="109"/>
    </row>
    <row r="4195" spans="1:14">
      <c r="A4195" s="106" t="s">
        <v>178</v>
      </c>
      <c r="B4195" s="14" t="s">
        <v>77</v>
      </c>
      <c r="C4195" s="14" t="s">
        <v>199</v>
      </c>
      <c r="D4195" s="14">
        <v>2017</v>
      </c>
      <c r="E4195" s="14">
        <v>2018</v>
      </c>
      <c r="F4195" s="14" t="s">
        <v>265</v>
      </c>
      <c r="G4195" s="112">
        <v>50906</v>
      </c>
      <c r="H4195" s="115">
        <v>117022</v>
      </c>
      <c r="I4195" s="108"/>
      <c r="J4195" s="109">
        <v>0.88252862120457942</v>
      </c>
      <c r="K4195" s="109">
        <v>0.84262295081967209</v>
      </c>
      <c r="L4195" s="159"/>
      <c r="M4195" s="109"/>
      <c r="N4195" s="109"/>
    </row>
    <row r="4196" spans="1:14">
      <c r="A4196" s="106" t="s">
        <v>179</v>
      </c>
      <c r="B4196" s="14" t="s">
        <v>78</v>
      </c>
      <c r="C4196" s="14" t="s">
        <v>199</v>
      </c>
      <c r="D4196" s="14">
        <v>2017</v>
      </c>
      <c r="E4196" s="14">
        <v>2018</v>
      </c>
      <c r="F4196" s="14" t="s">
        <v>265</v>
      </c>
      <c r="G4196" s="112">
        <v>2710</v>
      </c>
      <c r="H4196" s="115">
        <v>4773</v>
      </c>
      <c r="I4196" s="108"/>
      <c r="J4196" s="109">
        <v>0.98360655737704916</v>
      </c>
      <c r="K4196" s="109">
        <v>0.97752808988764039</v>
      </c>
      <c r="L4196" s="159"/>
      <c r="M4196" s="109"/>
      <c r="N4196" s="109"/>
    </row>
    <row r="4197" spans="1:14">
      <c r="A4197" s="106" t="s">
        <v>180</v>
      </c>
      <c r="B4197" s="14" t="s">
        <v>77</v>
      </c>
      <c r="C4197" s="14" t="s">
        <v>199</v>
      </c>
      <c r="D4197" s="14">
        <v>2017</v>
      </c>
      <c r="E4197" s="14">
        <v>2018</v>
      </c>
      <c r="F4197" s="14" t="s">
        <v>265</v>
      </c>
      <c r="G4197" s="112">
        <v>34631</v>
      </c>
      <c r="H4197" s="115">
        <v>68495</v>
      </c>
      <c r="I4197" s="108"/>
      <c r="J4197" s="109">
        <v>0.97707979626485564</v>
      </c>
      <c r="K4197" s="109">
        <v>0.97</v>
      </c>
      <c r="L4197" s="159"/>
      <c r="M4197" s="109"/>
      <c r="N4197" s="109"/>
    </row>
    <row r="4198" spans="1:14">
      <c r="A4198" s="106" t="s">
        <v>181</v>
      </c>
      <c r="B4198" s="14" t="s">
        <v>77</v>
      </c>
      <c r="C4198" s="14" t="s">
        <v>199</v>
      </c>
      <c r="D4198" s="14">
        <v>2017</v>
      </c>
      <c r="E4198" s="14">
        <v>2018</v>
      </c>
      <c r="F4198" s="14" t="s">
        <v>265</v>
      </c>
      <c r="G4198" s="112">
        <v>10044</v>
      </c>
      <c r="H4198" s="115">
        <v>18604</v>
      </c>
      <c r="I4198" s="108"/>
      <c r="J4198" s="109">
        <v>0.77086494688922613</v>
      </c>
      <c r="K4198" s="109">
        <v>0.96648044692737434</v>
      </c>
      <c r="L4198" s="159"/>
      <c r="M4198" s="109"/>
      <c r="N4198" s="109"/>
    </row>
    <row r="4199" spans="1:14" s="106" customFormat="1">
      <c r="A4199" s="106" t="s">
        <v>182</v>
      </c>
      <c r="B4199" s="14" t="s">
        <v>78</v>
      </c>
      <c r="C4199" s="14" t="s">
        <v>199</v>
      </c>
      <c r="D4199" s="14">
        <v>2017</v>
      </c>
      <c r="E4199" s="14">
        <v>2018</v>
      </c>
      <c r="F4199" s="14" t="s">
        <v>265</v>
      </c>
      <c r="G4199" s="115">
        <v>5958</v>
      </c>
      <c r="H4199" s="115">
        <v>12834</v>
      </c>
      <c r="I4199" s="108"/>
      <c r="J4199" s="109">
        <v>0.984375</v>
      </c>
      <c r="K4199" s="109">
        <v>0.96694214876033058</v>
      </c>
      <c r="L4199" s="159"/>
      <c r="M4199" s="109"/>
      <c r="N4199" s="109"/>
    </row>
    <row r="4200" spans="1:14" s="106" customFormat="1">
      <c r="A4200" s="56" t="s">
        <v>183</v>
      </c>
      <c r="B4200" s="14" t="s">
        <v>66</v>
      </c>
      <c r="C4200" s="14" t="s">
        <v>200</v>
      </c>
      <c r="D4200" s="14">
        <v>2017</v>
      </c>
      <c r="E4200" s="14">
        <v>2018</v>
      </c>
      <c r="F4200" s="14" t="s">
        <v>265</v>
      </c>
      <c r="G4200" s="115">
        <v>1985950</v>
      </c>
      <c r="H4200" s="115">
        <v>4069769</v>
      </c>
      <c r="I4200" s="108"/>
      <c r="J4200" s="109">
        <v>0.97875539877439344</v>
      </c>
      <c r="K4200" s="109">
        <v>0.92992337546024484</v>
      </c>
      <c r="L4200" s="159"/>
      <c r="M4200" s="109"/>
      <c r="N4200" s="109"/>
    </row>
    <row r="4201" spans="1:14" s="106" customFormat="1">
      <c r="A4201" s="56" t="s">
        <v>184</v>
      </c>
      <c r="B4201" s="14" t="s">
        <v>77</v>
      </c>
      <c r="C4201" s="14" t="s">
        <v>200</v>
      </c>
      <c r="D4201" s="14">
        <v>2017</v>
      </c>
      <c r="E4201" s="14">
        <v>2018</v>
      </c>
      <c r="F4201" s="14" t="s">
        <v>265</v>
      </c>
      <c r="G4201" s="115">
        <v>56587</v>
      </c>
      <c r="H4201" s="115">
        <v>106310</v>
      </c>
      <c r="I4201" s="108"/>
      <c r="J4201" s="30" t="s">
        <v>66</v>
      </c>
      <c r="K4201" s="30" t="s">
        <v>66</v>
      </c>
      <c r="L4201" s="159"/>
      <c r="M4201" s="109"/>
      <c r="N4201" s="109"/>
    </row>
    <row r="4202" spans="1:14" s="106" customFormat="1">
      <c r="A4202" s="56" t="s">
        <v>185</v>
      </c>
      <c r="B4202" s="14" t="s">
        <v>78</v>
      </c>
      <c r="C4202" s="14" t="s">
        <v>200</v>
      </c>
      <c r="D4202" s="14">
        <v>2017</v>
      </c>
      <c r="E4202" s="14">
        <v>2018</v>
      </c>
      <c r="F4202" s="14" t="s">
        <v>265</v>
      </c>
      <c r="G4202" s="115">
        <v>77</v>
      </c>
      <c r="H4202" s="115">
        <v>136</v>
      </c>
      <c r="I4202" s="108"/>
      <c r="J4202" s="109">
        <v>1</v>
      </c>
      <c r="K4202" s="109" t="e">
        <v>#DIV/0!</v>
      </c>
      <c r="L4202" s="159"/>
      <c r="M4202" s="109"/>
      <c r="N4202" s="109"/>
    </row>
    <row r="4203" spans="1:14" s="106" customFormat="1">
      <c r="A4203" s="56" t="s">
        <v>186</v>
      </c>
      <c r="B4203" s="14" t="s">
        <v>78</v>
      </c>
      <c r="C4203" s="14" t="s">
        <v>200</v>
      </c>
      <c r="D4203" s="14">
        <v>2017</v>
      </c>
      <c r="E4203" s="14">
        <v>2018</v>
      </c>
      <c r="F4203" s="14" t="s">
        <v>265</v>
      </c>
      <c r="G4203" s="115">
        <v>1609</v>
      </c>
      <c r="H4203" s="115">
        <v>2939</v>
      </c>
      <c r="I4203" s="108"/>
      <c r="J4203" s="109">
        <v>1</v>
      </c>
      <c r="K4203" s="109">
        <v>0.96491228070175439</v>
      </c>
      <c r="L4203" s="159"/>
      <c r="M4203" s="109"/>
      <c r="N4203" s="109"/>
    </row>
    <row r="4204" spans="1:14" s="106" customFormat="1">
      <c r="A4204" s="56" t="s">
        <v>187</v>
      </c>
      <c r="B4204" s="14" t="s">
        <v>78</v>
      </c>
      <c r="C4204" s="14" t="s">
        <v>200</v>
      </c>
      <c r="D4204" s="14">
        <v>2017</v>
      </c>
      <c r="E4204" s="14">
        <v>2018</v>
      </c>
      <c r="F4204" s="14" t="s">
        <v>265</v>
      </c>
      <c r="G4204" s="115">
        <v>16845</v>
      </c>
      <c r="H4204" s="115">
        <v>30881</v>
      </c>
      <c r="I4204" s="108"/>
      <c r="J4204" s="109">
        <v>0.89987484355444303</v>
      </c>
      <c r="K4204" s="109">
        <v>0.93835616438356162</v>
      </c>
      <c r="L4204" s="159"/>
      <c r="M4204" s="109"/>
      <c r="N4204" s="109"/>
    </row>
    <row r="4205" spans="1:14" s="106" customFormat="1">
      <c r="A4205" s="56" t="s">
        <v>188</v>
      </c>
      <c r="B4205" s="14" t="s">
        <v>78</v>
      </c>
      <c r="C4205" s="14" t="s">
        <v>200</v>
      </c>
      <c r="D4205" s="14">
        <v>2017</v>
      </c>
      <c r="E4205" s="14">
        <v>2018</v>
      </c>
      <c r="F4205" s="14" t="s">
        <v>265</v>
      </c>
      <c r="G4205" s="115">
        <v>2768</v>
      </c>
      <c r="H4205" s="115">
        <v>4999</v>
      </c>
      <c r="I4205" s="108"/>
      <c r="J4205" s="109">
        <v>0.98347107438016534</v>
      </c>
      <c r="K4205" s="109">
        <v>0.95774647887323938</v>
      </c>
      <c r="L4205" s="159"/>
      <c r="M4205" s="109"/>
      <c r="N4205" s="109"/>
    </row>
    <row r="4206" spans="1:14" s="106" customFormat="1">
      <c r="A4206" s="56" t="s">
        <v>189</v>
      </c>
      <c r="B4206" s="14" t="s">
        <v>78</v>
      </c>
      <c r="C4206" s="14" t="s">
        <v>200</v>
      </c>
      <c r="D4206" s="14">
        <v>2017</v>
      </c>
      <c r="E4206" s="14">
        <v>2018</v>
      </c>
      <c r="F4206" s="14" t="s">
        <v>265</v>
      </c>
      <c r="G4206" s="115">
        <v>670</v>
      </c>
      <c r="H4206" s="115">
        <v>1442</v>
      </c>
      <c r="I4206" s="108"/>
      <c r="J4206" s="109">
        <v>0.95652173913043481</v>
      </c>
      <c r="K4206" s="109">
        <v>0.93939393939393945</v>
      </c>
      <c r="L4206" s="159"/>
      <c r="M4206" s="109"/>
      <c r="N4206" s="109"/>
    </row>
    <row r="4207" spans="1:14" s="106" customFormat="1">
      <c r="A4207" s="56" t="s">
        <v>190</v>
      </c>
      <c r="B4207" s="14" t="s">
        <v>77</v>
      </c>
      <c r="C4207" s="14" t="s">
        <v>200</v>
      </c>
      <c r="D4207" s="14">
        <v>2017</v>
      </c>
      <c r="E4207" s="14">
        <v>2018</v>
      </c>
      <c r="F4207" s="14" t="s">
        <v>265</v>
      </c>
      <c r="G4207" s="115">
        <v>31506</v>
      </c>
      <c r="H4207" s="115">
        <v>62958</v>
      </c>
      <c r="I4207" s="108"/>
      <c r="J4207" s="109">
        <v>0.97942386831275718</v>
      </c>
      <c r="K4207" s="109">
        <v>0.97852028639618138</v>
      </c>
      <c r="L4207" s="159"/>
      <c r="M4207" s="109"/>
      <c r="N4207" s="109"/>
    </row>
    <row r="4208" spans="1:14" s="106" customFormat="1">
      <c r="A4208" s="56" t="s">
        <v>191</v>
      </c>
      <c r="B4208" s="14" t="s">
        <v>78</v>
      </c>
      <c r="C4208" s="14" t="s">
        <v>200</v>
      </c>
      <c r="D4208" s="14">
        <v>2017</v>
      </c>
      <c r="E4208" s="14">
        <v>2018</v>
      </c>
      <c r="F4208" s="14" t="s">
        <v>265</v>
      </c>
      <c r="G4208" s="115">
        <v>2588</v>
      </c>
      <c r="H4208" s="115">
        <v>5215</v>
      </c>
      <c r="I4208" s="108"/>
      <c r="J4208" s="109">
        <v>0.99019607843137258</v>
      </c>
      <c r="K4208" s="109">
        <v>0.92957746478873238</v>
      </c>
      <c r="L4208" s="159"/>
      <c r="M4208" s="109"/>
      <c r="N4208" s="109"/>
    </row>
    <row r="4209" spans="1:14" s="106" customFormat="1">
      <c r="A4209" s="56" t="s">
        <v>192</v>
      </c>
      <c r="B4209" s="14" t="s">
        <v>78</v>
      </c>
      <c r="C4209" s="14" t="s">
        <v>200</v>
      </c>
      <c r="D4209" s="14">
        <v>2017</v>
      </c>
      <c r="E4209" s="14">
        <v>2018</v>
      </c>
      <c r="F4209" s="14" t="s">
        <v>265</v>
      </c>
      <c r="G4209" s="115">
        <v>6544</v>
      </c>
      <c r="H4209" s="115">
        <v>11440</v>
      </c>
      <c r="I4209" s="108"/>
      <c r="J4209" s="109">
        <v>0.98203592814371254</v>
      </c>
      <c r="K4209" s="109">
        <v>0.98795180722891562</v>
      </c>
      <c r="L4209" s="159"/>
      <c r="M4209" s="109"/>
      <c r="N4209" s="109"/>
    </row>
    <row r="4210" spans="1:14" s="106" customFormat="1">
      <c r="A4210" s="106" t="s">
        <v>134</v>
      </c>
      <c r="B4210" s="14" t="s">
        <v>77</v>
      </c>
      <c r="C4210" s="14" t="s">
        <v>200</v>
      </c>
      <c r="D4210" s="14">
        <v>2017</v>
      </c>
      <c r="E4210" s="14">
        <v>2018</v>
      </c>
      <c r="F4210" s="14" t="s">
        <v>265</v>
      </c>
      <c r="G4210" s="115">
        <v>89719</v>
      </c>
      <c r="H4210" s="115">
        <v>206345</v>
      </c>
      <c r="I4210" s="108"/>
      <c r="J4210" s="109">
        <v>0.93533913961467408</v>
      </c>
      <c r="K4210" s="109">
        <v>0.94406779661016949</v>
      </c>
      <c r="L4210" s="159"/>
      <c r="M4210" s="109"/>
      <c r="N4210" s="109"/>
    </row>
    <row r="4211" spans="1:14" s="106" customFormat="1">
      <c r="A4211" s="106" t="s">
        <v>135</v>
      </c>
      <c r="B4211" s="14" t="s">
        <v>78</v>
      </c>
      <c r="C4211" s="14" t="s">
        <v>200</v>
      </c>
      <c r="D4211" s="14">
        <v>2017</v>
      </c>
      <c r="E4211" s="14">
        <v>2018</v>
      </c>
      <c r="F4211" s="14" t="s">
        <v>265</v>
      </c>
      <c r="G4211" s="115">
        <v>1474</v>
      </c>
      <c r="H4211" s="115">
        <v>2385</v>
      </c>
      <c r="I4211" s="108"/>
      <c r="J4211" s="109">
        <v>0.95588235294117652</v>
      </c>
      <c r="K4211" s="109">
        <v>0.97826086956521741</v>
      </c>
      <c r="L4211" s="159"/>
      <c r="M4211" s="109"/>
      <c r="N4211" s="109"/>
    </row>
    <row r="4212" spans="1:14" s="106" customFormat="1">
      <c r="A4212" s="106" t="s">
        <v>136</v>
      </c>
      <c r="B4212" s="14" t="s">
        <v>78</v>
      </c>
      <c r="C4212" s="14" t="s">
        <v>200</v>
      </c>
      <c r="D4212" s="14">
        <v>2017</v>
      </c>
      <c r="E4212" s="14">
        <v>2018</v>
      </c>
      <c r="F4212" s="14" t="s">
        <v>265</v>
      </c>
      <c r="G4212" s="115">
        <v>12008</v>
      </c>
      <c r="H4212" s="115">
        <v>20034</v>
      </c>
      <c r="I4212" s="108"/>
      <c r="J4212" s="109">
        <v>0.95741056218057918</v>
      </c>
      <c r="K4212" s="109">
        <v>0.96601941747572817</v>
      </c>
      <c r="L4212" s="159"/>
      <c r="M4212" s="109"/>
      <c r="N4212" s="109"/>
    </row>
    <row r="4213" spans="1:14" s="106" customFormat="1">
      <c r="A4213" s="106" t="s">
        <v>137</v>
      </c>
      <c r="B4213" s="14" t="s">
        <v>78</v>
      </c>
      <c r="C4213" s="14" t="s">
        <v>200</v>
      </c>
      <c r="D4213" s="14">
        <v>2017</v>
      </c>
      <c r="E4213" s="14">
        <v>2018</v>
      </c>
      <c r="F4213" s="14" t="s">
        <v>265</v>
      </c>
      <c r="G4213" s="115">
        <v>17180</v>
      </c>
      <c r="H4213" s="115">
        <v>41423</v>
      </c>
      <c r="I4213" s="108"/>
      <c r="J4213" s="109">
        <v>0.98809523809523814</v>
      </c>
      <c r="K4213" s="109">
        <v>0.92351274787535409</v>
      </c>
      <c r="L4213" s="159"/>
      <c r="M4213" s="109"/>
      <c r="N4213" s="109"/>
    </row>
    <row r="4214" spans="1:14" s="106" customFormat="1">
      <c r="A4214" s="106" t="s">
        <v>138</v>
      </c>
      <c r="B4214" s="14" t="s">
        <v>78</v>
      </c>
      <c r="C4214" s="14" t="s">
        <v>200</v>
      </c>
      <c r="D4214" s="14">
        <v>2017</v>
      </c>
      <c r="E4214" s="14">
        <v>2018</v>
      </c>
      <c r="F4214" s="14" t="s">
        <v>265</v>
      </c>
      <c r="G4214" s="115">
        <v>999</v>
      </c>
      <c r="H4214" s="115">
        <v>1925</v>
      </c>
      <c r="I4214" s="108"/>
      <c r="J4214" s="109">
        <v>1</v>
      </c>
      <c r="K4214" s="109">
        <v>0.8529411764705882</v>
      </c>
      <c r="L4214" s="159"/>
      <c r="M4214" s="109"/>
      <c r="N4214" s="109"/>
    </row>
    <row r="4215" spans="1:14" s="106" customFormat="1">
      <c r="A4215" s="106" t="s">
        <v>139</v>
      </c>
      <c r="B4215" s="14" t="s">
        <v>78</v>
      </c>
      <c r="C4215" s="14" t="s">
        <v>200</v>
      </c>
      <c r="D4215" s="14">
        <v>2017</v>
      </c>
      <c r="E4215" s="14">
        <v>2018</v>
      </c>
      <c r="F4215" s="14" t="s">
        <v>265</v>
      </c>
      <c r="G4215" s="115">
        <v>68268</v>
      </c>
      <c r="H4215" s="115">
        <v>157266</v>
      </c>
      <c r="I4215" s="108"/>
      <c r="J4215" s="109">
        <v>0.98506588579795018</v>
      </c>
      <c r="K4215" s="109">
        <v>0.93650068524440389</v>
      </c>
      <c r="L4215" s="159"/>
      <c r="M4215" s="109"/>
      <c r="N4215" s="109"/>
    </row>
    <row r="4216" spans="1:14" s="106" customFormat="1">
      <c r="A4216" s="106" t="s">
        <v>140</v>
      </c>
      <c r="B4216" s="14" t="s">
        <v>78</v>
      </c>
      <c r="C4216" s="14" t="s">
        <v>200</v>
      </c>
      <c r="D4216" s="14">
        <v>2017</v>
      </c>
      <c r="E4216" s="14">
        <v>2018</v>
      </c>
      <c r="F4216" s="14" t="s">
        <v>265</v>
      </c>
      <c r="G4216" s="115">
        <v>10606</v>
      </c>
      <c r="H4216" s="115">
        <v>23692</v>
      </c>
      <c r="I4216" s="108"/>
      <c r="J4216" s="109">
        <v>1</v>
      </c>
      <c r="K4216" s="109">
        <v>0.95975232198142413</v>
      </c>
      <c r="L4216" s="159"/>
      <c r="M4216" s="109"/>
      <c r="N4216" s="109"/>
    </row>
    <row r="4217" spans="1:14" s="106" customFormat="1">
      <c r="A4217" s="106" t="s">
        <v>141</v>
      </c>
      <c r="B4217" s="14" t="s">
        <v>78</v>
      </c>
      <c r="C4217" s="14" t="s">
        <v>200</v>
      </c>
      <c r="D4217" s="14">
        <v>2017</v>
      </c>
      <c r="E4217" s="14">
        <v>2018</v>
      </c>
      <c r="F4217" s="14" t="s">
        <v>265</v>
      </c>
      <c r="G4217" s="115">
        <v>6320</v>
      </c>
      <c r="H4217" s="115">
        <v>11620</v>
      </c>
      <c r="I4217" s="108"/>
      <c r="J4217" s="109">
        <v>0.87132352941176472</v>
      </c>
      <c r="K4217" s="109">
        <v>0.91228070175438591</v>
      </c>
      <c r="L4217" s="159"/>
      <c r="M4217" s="109"/>
      <c r="N4217" s="109"/>
    </row>
    <row r="4218" spans="1:14" s="106" customFormat="1">
      <c r="A4218" s="106" t="s">
        <v>142</v>
      </c>
      <c r="B4218" s="14" t="s">
        <v>78</v>
      </c>
      <c r="C4218" s="14" t="s">
        <v>200</v>
      </c>
      <c r="D4218" s="14">
        <v>2017</v>
      </c>
      <c r="E4218" s="14">
        <v>2018</v>
      </c>
      <c r="F4218" s="14" t="s">
        <v>265</v>
      </c>
      <c r="G4218" s="115">
        <v>1497</v>
      </c>
      <c r="H4218" s="115">
        <v>3025</v>
      </c>
      <c r="I4218" s="108"/>
      <c r="J4218" s="109">
        <v>0.93333333333333335</v>
      </c>
      <c r="K4218" s="109">
        <v>0.94871794871794868</v>
      </c>
      <c r="L4218" s="159"/>
      <c r="M4218" s="109"/>
      <c r="N4218" s="109"/>
    </row>
    <row r="4219" spans="1:14" s="106" customFormat="1">
      <c r="A4219" s="106" t="s">
        <v>143</v>
      </c>
      <c r="B4219" s="14" t="s">
        <v>79</v>
      </c>
      <c r="C4219" s="14" t="s">
        <v>200</v>
      </c>
      <c r="D4219" s="14">
        <v>2017</v>
      </c>
      <c r="E4219" s="14">
        <v>2018</v>
      </c>
      <c r="F4219" s="14" t="s">
        <v>265</v>
      </c>
      <c r="G4219" s="115">
        <v>554348</v>
      </c>
      <c r="H4219" s="115">
        <v>1099100</v>
      </c>
      <c r="I4219" s="108"/>
      <c r="J4219" s="109">
        <v>0.98864628820960698</v>
      </c>
      <c r="K4219" s="109">
        <v>0.91670242437245231</v>
      </c>
      <c r="L4219" s="159"/>
      <c r="M4219" s="109"/>
      <c r="N4219" s="109"/>
    </row>
    <row r="4220" spans="1:14" s="106" customFormat="1">
      <c r="A4220" s="106" t="s">
        <v>144</v>
      </c>
      <c r="B4220" s="14" t="s">
        <v>78</v>
      </c>
      <c r="C4220" s="14" t="s">
        <v>200</v>
      </c>
      <c r="D4220" s="14">
        <v>2017</v>
      </c>
      <c r="E4220" s="14">
        <v>2018</v>
      </c>
      <c r="F4220" s="14" t="s">
        <v>265</v>
      </c>
      <c r="G4220" s="115">
        <v>11301</v>
      </c>
      <c r="H4220" s="115">
        <v>27315</v>
      </c>
      <c r="I4220" s="108"/>
      <c r="J4220" s="109">
        <v>0.98326359832635979</v>
      </c>
      <c r="K4220" s="109">
        <v>0.98</v>
      </c>
      <c r="L4220" s="159"/>
      <c r="M4220" s="109"/>
      <c r="N4220" s="109"/>
    </row>
    <row r="4221" spans="1:14" s="106" customFormat="1">
      <c r="A4221" s="106" t="s">
        <v>145</v>
      </c>
      <c r="B4221" s="14" t="s">
        <v>78</v>
      </c>
      <c r="C4221" s="14" t="s">
        <v>200</v>
      </c>
      <c r="D4221" s="14">
        <v>2017</v>
      </c>
      <c r="E4221" s="14">
        <v>2018</v>
      </c>
      <c r="F4221" s="14" t="s">
        <v>265</v>
      </c>
      <c r="G4221" s="115">
        <v>5923</v>
      </c>
      <c r="H4221" s="115">
        <v>9775</v>
      </c>
      <c r="I4221" s="108"/>
      <c r="J4221" s="109">
        <v>0.97378277153558057</v>
      </c>
      <c r="K4221" s="109">
        <v>0.9526627218934911</v>
      </c>
      <c r="L4221" s="159"/>
      <c r="M4221" s="109"/>
      <c r="N4221" s="109"/>
    </row>
    <row r="4222" spans="1:14" s="106" customFormat="1">
      <c r="A4222" s="106" t="s">
        <v>146</v>
      </c>
      <c r="B4222" s="14" t="s">
        <v>78</v>
      </c>
      <c r="C4222" s="14" t="s">
        <v>200</v>
      </c>
      <c r="D4222" s="14">
        <v>2017</v>
      </c>
      <c r="E4222" s="14">
        <v>2018</v>
      </c>
      <c r="F4222" s="14" t="s">
        <v>265</v>
      </c>
      <c r="G4222" s="115">
        <v>1031</v>
      </c>
      <c r="H4222" s="115">
        <v>1910</v>
      </c>
      <c r="I4222" s="108"/>
      <c r="J4222" s="109">
        <v>1</v>
      </c>
      <c r="K4222" s="109">
        <v>1</v>
      </c>
      <c r="L4222" s="159"/>
      <c r="M4222" s="109"/>
      <c r="N4222" s="109"/>
    </row>
    <row r="4223" spans="1:14" s="106" customFormat="1">
      <c r="A4223" s="106" t="s">
        <v>147</v>
      </c>
      <c r="B4223" s="14" t="s">
        <v>78</v>
      </c>
      <c r="C4223" s="14" t="s">
        <v>200</v>
      </c>
      <c r="D4223" s="14">
        <v>2017</v>
      </c>
      <c r="E4223" s="14">
        <v>2018</v>
      </c>
      <c r="F4223" s="14" t="s">
        <v>265</v>
      </c>
      <c r="G4223" s="115">
        <v>6272</v>
      </c>
      <c r="H4223" s="115">
        <v>11569</v>
      </c>
      <c r="I4223" s="108"/>
      <c r="J4223" s="109">
        <v>0.92211838006230529</v>
      </c>
      <c r="K4223" s="109">
        <v>0.87606837606837606</v>
      </c>
      <c r="L4223" s="159"/>
      <c r="M4223" s="109"/>
      <c r="N4223" s="109"/>
    </row>
    <row r="4224" spans="1:14" s="106" customFormat="1">
      <c r="A4224" s="106" t="s">
        <v>148</v>
      </c>
      <c r="B4224" s="14" t="s">
        <v>78</v>
      </c>
      <c r="C4224" s="14" t="s">
        <v>200</v>
      </c>
      <c r="D4224" s="14">
        <v>2017</v>
      </c>
      <c r="E4224" s="14">
        <v>2018</v>
      </c>
      <c r="F4224" s="14" t="s">
        <v>265</v>
      </c>
      <c r="G4224" s="115">
        <v>23084</v>
      </c>
      <c r="H4224" s="115">
        <v>53088</v>
      </c>
      <c r="I4224" s="108"/>
      <c r="J4224" s="109">
        <v>0.98527865404837012</v>
      </c>
      <c r="K4224" s="109">
        <v>0.97380585516178741</v>
      </c>
      <c r="L4224" s="159"/>
      <c r="M4224" s="109"/>
      <c r="N4224" s="109"/>
    </row>
    <row r="4225" spans="1:14" s="106" customFormat="1">
      <c r="A4225" s="106" t="s">
        <v>149</v>
      </c>
      <c r="B4225" s="14" t="s">
        <v>78</v>
      </c>
      <c r="C4225" s="14" t="s">
        <v>200</v>
      </c>
      <c r="D4225" s="14">
        <v>2017</v>
      </c>
      <c r="E4225" s="14">
        <v>2018</v>
      </c>
      <c r="F4225" s="14" t="s">
        <v>265</v>
      </c>
      <c r="G4225" s="115">
        <v>581</v>
      </c>
      <c r="H4225" s="115">
        <v>1216</v>
      </c>
      <c r="I4225" s="108"/>
      <c r="J4225" s="109">
        <v>0.88571428571428568</v>
      </c>
      <c r="K4225" s="109">
        <v>0.92</v>
      </c>
      <c r="L4225" s="159"/>
      <c r="M4225" s="109"/>
      <c r="N4225" s="109"/>
    </row>
    <row r="4226" spans="1:14" s="106" customFormat="1">
      <c r="A4226" s="106" t="s">
        <v>150</v>
      </c>
      <c r="B4226" s="14" t="s">
        <v>78</v>
      </c>
      <c r="C4226" s="14" t="s">
        <v>200</v>
      </c>
      <c r="D4226" s="14">
        <v>2017</v>
      </c>
      <c r="E4226" s="14">
        <v>2018</v>
      </c>
      <c r="F4226" s="14" t="s">
        <v>265</v>
      </c>
      <c r="G4226" s="115">
        <v>413</v>
      </c>
      <c r="H4226" s="115">
        <v>709</v>
      </c>
      <c r="I4226" s="108"/>
      <c r="J4226" s="109">
        <v>0.92500000000000004</v>
      </c>
      <c r="K4226" s="109">
        <v>0.92</v>
      </c>
      <c r="L4226" s="159"/>
      <c r="M4226" s="109"/>
      <c r="N4226" s="109"/>
    </row>
    <row r="4227" spans="1:14" s="106" customFormat="1">
      <c r="A4227" s="106" t="s">
        <v>151</v>
      </c>
      <c r="B4227" s="14" t="s">
        <v>78</v>
      </c>
      <c r="C4227" s="14" t="s">
        <v>200</v>
      </c>
      <c r="D4227" s="14">
        <v>2017</v>
      </c>
      <c r="E4227" s="14">
        <v>2018</v>
      </c>
      <c r="F4227" s="14" t="s">
        <v>265</v>
      </c>
      <c r="G4227" s="115">
        <v>20394</v>
      </c>
      <c r="H4227" s="115">
        <v>45078</v>
      </c>
      <c r="I4227" s="108"/>
      <c r="J4227" s="109">
        <v>0.9781115879828326</v>
      </c>
      <c r="K4227" s="109">
        <v>0.92895015906680811</v>
      </c>
      <c r="L4227" s="159"/>
      <c r="M4227" s="109"/>
      <c r="N4227" s="109"/>
    </row>
    <row r="4228" spans="1:14" s="106" customFormat="1">
      <c r="A4228" s="106" t="s">
        <v>152</v>
      </c>
      <c r="B4228" s="14" t="s">
        <v>78</v>
      </c>
      <c r="C4228" s="14" t="s">
        <v>200</v>
      </c>
      <c r="D4228" s="14">
        <v>2017</v>
      </c>
      <c r="E4228" s="14">
        <v>2018</v>
      </c>
      <c r="F4228" s="14" t="s">
        <v>265</v>
      </c>
      <c r="G4228" s="115">
        <v>3030</v>
      </c>
      <c r="H4228" s="115">
        <v>6038</v>
      </c>
      <c r="I4228" s="108"/>
      <c r="J4228" s="109">
        <v>0.89444444444444449</v>
      </c>
      <c r="K4228" s="109">
        <v>0.89622641509433965</v>
      </c>
      <c r="L4228" s="159"/>
      <c r="M4228" s="109"/>
      <c r="N4228" s="109"/>
    </row>
    <row r="4229" spans="1:14" s="106" customFormat="1">
      <c r="A4229" s="106" t="s">
        <v>153</v>
      </c>
      <c r="B4229" s="14" t="s">
        <v>78</v>
      </c>
      <c r="C4229" s="14" t="s">
        <v>200</v>
      </c>
      <c r="D4229" s="14">
        <v>2017</v>
      </c>
      <c r="E4229" s="14">
        <v>2018</v>
      </c>
      <c r="F4229" s="14" t="s">
        <v>265</v>
      </c>
      <c r="G4229" s="115">
        <v>4031</v>
      </c>
      <c r="H4229" s="115">
        <v>6939</v>
      </c>
      <c r="I4229" s="108"/>
      <c r="J4229" s="109">
        <v>0.78888888888888886</v>
      </c>
      <c r="K4229" s="109">
        <v>0.76119402985074625</v>
      </c>
      <c r="L4229" s="159"/>
      <c r="M4229" s="109"/>
      <c r="N4229" s="109"/>
    </row>
    <row r="4230" spans="1:14" s="106" customFormat="1">
      <c r="A4230" s="106" t="s">
        <v>154</v>
      </c>
      <c r="B4230" s="14" t="s">
        <v>77</v>
      </c>
      <c r="C4230" s="14" t="s">
        <v>200</v>
      </c>
      <c r="D4230" s="14">
        <v>2017</v>
      </c>
      <c r="E4230" s="14">
        <v>2018</v>
      </c>
      <c r="F4230" s="14" t="s">
        <v>265</v>
      </c>
      <c r="G4230" s="115">
        <v>113785</v>
      </c>
      <c r="H4230" s="115">
        <v>230130</v>
      </c>
      <c r="I4230" s="108"/>
      <c r="J4230" s="109">
        <v>0.99566704675028506</v>
      </c>
      <c r="K4230" s="109">
        <v>0.99705159705159707</v>
      </c>
      <c r="L4230" s="159"/>
      <c r="M4230" s="109"/>
      <c r="N4230" s="109"/>
    </row>
    <row r="4231" spans="1:14" s="106" customFormat="1">
      <c r="A4231" s="106" t="s">
        <v>155</v>
      </c>
      <c r="B4231" s="14" t="s">
        <v>77</v>
      </c>
      <c r="C4231" s="14" t="s">
        <v>200</v>
      </c>
      <c r="D4231" s="14">
        <v>2017</v>
      </c>
      <c r="E4231" s="14">
        <v>2018</v>
      </c>
      <c r="F4231" s="14" t="s">
        <v>265</v>
      </c>
      <c r="G4231" s="115">
        <v>8522</v>
      </c>
      <c r="H4231" s="115">
        <v>15863</v>
      </c>
      <c r="I4231" s="108"/>
      <c r="J4231" s="109">
        <v>0.9884615384615385</v>
      </c>
      <c r="K4231" s="109">
        <v>0.90686274509803921</v>
      </c>
      <c r="L4231" s="159"/>
      <c r="M4231" s="109"/>
      <c r="N4231" s="109"/>
    </row>
    <row r="4232" spans="1:14" s="106" customFormat="1">
      <c r="A4232" s="106" t="s">
        <v>156</v>
      </c>
      <c r="B4232" s="14" t="s">
        <v>78</v>
      </c>
      <c r="C4232" s="14" t="s">
        <v>200</v>
      </c>
      <c r="D4232" s="14">
        <v>2017</v>
      </c>
      <c r="E4232" s="14">
        <v>2018</v>
      </c>
      <c r="F4232" s="14" t="s">
        <v>265</v>
      </c>
      <c r="G4232" s="115">
        <v>1174</v>
      </c>
      <c r="H4232" s="115">
        <v>2108</v>
      </c>
      <c r="I4232" s="108"/>
      <c r="J4232" s="109">
        <v>0.95081967213114749</v>
      </c>
      <c r="K4232" s="109">
        <v>0.97142857142857142</v>
      </c>
      <c r="L4232" s="159"/>
      <c r="M4232" s="109"/>
      <c r="N4232" s="109"/>
    </row>
    <row r="4233" spans="1:14" s="106" customFormat="1">
      <c r="A4233" s="106" t="s">
        <v>157</v>
      </c>
      <c r="B4233" s="14" t="s">
        <v>78</v>
      </c>
      <c r="C4233" s="14" t="s">
        <v>200</v>
      </c>
      <c r="D4233" s="14">
        <v>2017</v>
      </c>
      <c r="E4233" s="14">
        <v>2018</v>
      </c>
      <c r="F4233" s="14" t="s">
        <v>265</v>
      </c>
      <c r="G4233" s="115">
        <v>120891</v>
      </c>
      <c r="H4233" s="115">
        <v>265986</v>
      </c>
      <c r="I4233" s="108"/>
      <c r="J4233" s="109">
        <v>0.99308705984013823</v>
      </c>
      <c r="K4233" s="109">
        <v>0.92058735391069824</v>
      </c>
      <c r="L4233" s="159"/>
      <c r="M4233" s="109"/>
      <c r="N4233" s="109"/>
    </row>
    <row r="4234" spans="1:14" s="106" customFormat="1">
      <c r="A4234" s="106" t="s">
        <v>158</v>
      </c>
      <c r="B4234" s="14" t="s">
        <v>77</v>
      </c>
      <c r="C4234" s="14" t="s">
        <v>200</v>
      </c>
      <c r="D4234" s="14">
        <v>2017</v>
      </c>
      <c r="E4234" s="14">
        <v>2018</v>
      </c>
      <c r="F4234" s="14" t="s">
        <v>265</v>
      </c>
      <c r="G4234" s="115">
        <v>96516</v>
      </c>
      <c r="H4234" s="115">
        <v>202910</v>
      </c>
      <c r="I4234" s="108"/>
      <c r="J4234" s="109">
        <v>0.99281644785731982</v>
      </c>
      <c r="K4234" s="109">
        <v>0.98481308411214952</v>
      </c>
      <c r="L4234" s="159"/>
      <c r="M4234" s="109"/>
      <c r="N4234" s="109"/>
    </row>
    <row r="4235" spans="1:14" s="106" customFormat="1">
      <c r="A4235" s="106" t="s">
        <v>159</v>
      </c>
      <c r="B4235" s="14" t="s">
        <v>78</v>
      </c>
      <c r="C4235" s="14" t="s">
        <v>200</v>
      </c>
      <c r="D4235" s="14">
        <v>2017</v>
      </c>
      <c r="E4235" s="14">
        <v>2018</v>
      </c>
      <c r="F4235" s="14" t="s">
        <v>265</v>
      </c>
      <c r="G4235" s="115">
        <v>2118</v>
      </c>
      <c r="H4235" s="115">
        <v>4652</v>
      </c>
      <c r="I4235" s="108"/>
      <c r="J4235" s="109">
        <v>0.9652173913043478</v>
      </c>
      <c r="K4235" s="109">
        <v>0.97368421052631582</v>
      </c>
      <c r="L4235" s="159"/>
      <c r="M4235" s="109"/>
      <c r="N4235" s="109"/>
    </row>
    <row r="4236" spans="1:14" s="106" customFormat="1">
      <c r="A4236" s="106" t="s">
        <v>160</v>
      </c>
      <c r="B4236" s="14" t="s">
        <v>78</v>
      </c>
      <c r="C4236" s="14" t="s">
        <v>200</v>
      </c>
      <c r="D4236" s="14">
        <v>2017</v>
      </c>
      <c r="E4236" s="14">
        <v>2018</v>
      </c>
      <c r="F4236" s="14" t="s">
        <v>265</v>
      </c>
      <c r="G4236" s="115">
        <v>162482</v>
      </c>
      <c r="H4236" s="115">
        <v>352795</v>
      </c>
      <c r="I4236" s="108"/>
      <c r="J4236" s="109">
        <v>0.99403275048570638</v>
      </c>
      <c r="K4236" s="109">
        <v>0.94490131578947367</v>
      </c>
      <c r="L4236" s="159"/>
      <c r="M4236" s="109"/>
      <c r="N4236" s="109"/>
    </row>
    <row r="4237" spans="1:14" s="106" customFormat="1">
      <c r="A4237" s="106" t="s">
        <v>161</v>
      </c>
      <c r="B4237" s="14" t="s">
        <v>77</v>
      </c>
      <c r="C4237" s="14" t="s">
        <v>200</v>
      </c>
      <c r="D4237" s="14">
        <v>2017</v>
      </c>
      <c r="E4237" s="14">
        <v>2018</v>
      </c>
      <c r="F4237" s="14" t="s">
        <v>265</v>
      </c>
      <c r="G4237" s="115">
        <v>133714</v>
      </c>
      <c r="H4237" s="115">
        <v>268565</v>
      </c>
      <c r="I4237" s="108"/>
      <c r="J4237" s="109">
        <v>0.97560160427807485</v>
      </c>
      <c r="K4237" s="109">
        <v>0.95692025664527958</v>
      </c>
      <c r="L4237" s="159"/>
      <c r="M4237" s="109"/>
      <c r="N4237" s="109"/>
    </row>
    <row r="4238" spans="1:14" s="106" customFormat="1">
      <c r="A4238" s="106" t="s">
        <v>162</v>
      </c>
      <c r="B4238" s="14" t="s">
        <v>77</v>
      </c>
      <c r="C4238" s="14" t="s">
        <v>200</v>
      </c>
      <c r="D4238" s="14">
        <v>2017</v>
      </c>
      <c r="E4238" s="14">
        <v>2018</v>
      </c>
      <c r="F4238" s="14" t="s">
        <v>265</v>
      </c>
      <c r="G4238" s="115">
        <v>33601</v>
      </c>
      <c r="H4238" s="115">
        <v>50348</v>
      </c>
      <c r="I4238" s="108"/>
      <c r="J4238" s="109">
        <v>0.96715049656226126</v>
      </c>
      <c r="K4238" s="109">
        <v>0.78333333333333333</v>
      </c>
      <c r="L4238" s="159"/>
      <c r="M4238" s="109"/>
      <c r="N4238" s="109"/>
    </row>
    <row r="4239" spans="1:14" s="106" customFormat="1">
      <c r="A4239" s="106" t="s">
        <v>163</v>
      </c>
      <c r="B4239" s="14" t="s">
        <v>78</v>
      </c>
      <c r="C4239" s="14" t="s">
        <v>200</v>
      </c>
      <c r="D4239" s="14">
        <v>2017</v>
      </c>
      <c r="E4239" s="14">
        <v>2018</v>
      </c>
      <c r="F4239" s="14" t="s">
        <v>265</v>
      </c>
      <c r="G4239" s="115">
        <v>46912</v>
      </c>
      <c r="H4239" s="115">
        <v>103344</v>
      </c>
      <c r="I4239" s="108"/>
      <c r="J4239" s="109">
        <v>0.98250128667009784</v>
      </c>
      <c r="K4239" s="109">
        <v>0.92518101367658889</v>
      </c>
      <c r="L4239" s="159"/>
      <c r="M4239" s="109"/>
      <c r="N4239" s="109"/>
    </row>
    <row r="4240" spans="1:14" s="106" customFormat="1">
      <c r="A4240" s="106" t="s">
        <v>164</v>
      </c>
      <c r="B4240" s="14" t="s">
        <v>77</v>
      </c>
      <c r="C4240" s="14" t="s">
        <v>200</v>
      </c>
      <c r="D4240" s="14">
        <v>2017</v>
      </c>
      <c r="E4240" s="14">
        <v>2018</v>
      </c>
      <c r="F4240" s="14" t="s">
        <v>265</v>
      </c>
      <c r="G4240" s="115">
        <v>9388</v>
      </c>
      <c r="H4240" s="115">
        <v>16451</v>
      </c>
      <c r="I4240" s="108"/>
      <c r="J4240" s="109">
        <v>0.97841726618705038</v>
      </c>
      <c r="K4240" s="109">
        <v>0.97247706422018354</v>
      </c>
      <c r="L4240" s="159"/>
      <c r="M4240" s="109"/>
      <c r="N4240" s="109"/>
    </row>
    <row r="4241" spans="1:14" s="106" customFormat="1">
      <c r="A4241" s="106" t="s">
        <v>165</v>
      </c>
      <c r="B4241" s="14" t="s">
        <v>77</v>
      </c>
      <c r="C4241" s="14" t="s">
        <v>200</v>
      </c>
      <c r="D4241" s="14">
        <v>2017</v>
      </c>
      <c r="E4241" s="14">
        <v>2018</v>
      </c>
      <c r="F4241" s="14" t="s">
        <v>265</v>
      </c>
      <c r="G4241" s="115">
        <v>13040</v>
      </c>
      <c r="H4241" s="115">
        <v>24925</v>
      </c>
      <c r="I4241" s="108"/>
      <c r="J4241" s="109">
        <v>0.97239915074309979</v>
      </c>
      <c r="K4241" s="109">
        <v>0.93103448275862066</v>
      </c>
      <c r="L4241" s="159"/>
      <c r="M4241" s="109"/>
      <c r="N4241" s="109"/>
    </row>
    <row r="4242" spans="1:14" s="106" customFormat="1">
      <c r="A4242" s="106" t="s">
        <v>166</v>
      </c>
      <c r="B4242" s="14" t="s">
        <v>77</v>
      </c>
      <c r="C4242" s="14" t="s">
        <v>200</v>
      </c>
      <c r="D4242" s="14">
        <v>2017</v>
      </c>
      <c r="E4242" s="14">
        <v>2018</v>
      </c>
      <c r="F4242" s="14" t="s">
        <v>265</v>
      </c>
      <c r="G4242" s="115">
        <v>19232</v>
      </c>
      <c r="H4242" s="115">
        <v>37984</v>
      </c>
      <c r="I4242" s="108"/>
      <c r="J4242" s="109">
        <v>0.87682832948421863</v>
      </c>
      <c r="K4242" s="109">
        <v>0.91003460207612452</v>
      </c>
      <c r="L4242" s="159"/>
      <c r="M4242" s="109"/>
      <c r="N4242" s="109"/>
    </row>
    <row r="4243" spans="1:14" s="106" customFormat="1">
      <c r="A4243" s="106" t="s">
        <v>167</v>
      </c>
      <c r="B4243" s="14" t="s">
        <v>77</v>
      </c>
      <c r="C4243" s="14" t="s">
        <v>200</v>
      </c>
      <c r="D4243" s="14">
        <v>2017</v>
      </c>
      <c r="E4243" s="14">
        <v>2018</v>
      </c>
      <c r="F4243" s="14" t="s">
        <v>265</v>
      </c>
      <c r="G4243" s="115">
        <v>45652</v>
      </c>
      <c r="H4243" s="115">
        <v>87809</v>
      </c>
      <c r="I4243" s="108"/>
      <c r="J4243" s="109">
        <v>0.98702983138780809</v>
      </c>
      <c r="K4243" s="109">
        <v>0.96226415094339623</v>
      </c>
      <c r="L4243" s="159"/>
      <c r="M4243" s="109"/>
      <c r="N4243" s="109"/>
    </row>
    <row r="4244" spans="1:14" s="106" customFormat="1">
      <c r="A4244" s="106" t="s">
        <v>168</v>
      </c>
      <c r="B4244" s="14" t="s">
        <v>77</v>
      </c>
      <c r="C4244" s="14" t="s">
        <v>200</v>
      </c>
      <c r="D4244" s="14">
        <v>2017</v>
      </c>
      <c r="E4244" s="14">
        <v>2018</v>
      </c>
      <c r="F4244" s="14" t="s">
        <v>265</v>
      </c>
      <c r="G4244" s="115">
        <v>14362</v>
      </c>
      <c r="H4244" s="115">
        <v>25568</v>
      </c>
      <c r="I4244" s="108"/>
      <c r="J4244" s="109">
        <v>0.96788321167883207</v>
      </c>
      <c r="K4244" s="109">
        <v>0.970873786407767</v>
      </c>
      <c r="L4244" s="159"/>
      <c r="M4244" s="109"/>
      <c r="N4244" s="109"/>
    </row>
    <row r="4245" spans="1:14" s="106" customFormat="1">
      <c r="A4245" s="106" t="s">
        <v>169</v>
      </c>
      <c r="B4245" s="14" t="s">
        <v>78</v>
      </c>
      <c r="C4245" s="14" t="s">
        <v>200</v>
      </c>
      <c r="D4245" s="14">
        <v>2017</v>
      </c>
      <c r="E4245" s="14">
        <v>2018</v>
      </c>
      <c r="F4245" s="14" t="s">
        <v>265</v>
      </c>
      <c r="G4245" s="115">
        <v>12331</v>
      </c>
      <c r="H4245" s="115">
        <v>23085</v>
      </c>
      <c r="I4245" s="108"/>
      <c r="J4245" s="109">
        <v>0.93717277486910999</v>
      </c>
      <c r="K4245" s="109">
        <v>0.95717884130982367</v>
      </c>
      <c r="L4245" s="159"/>
      <c r="M4245" s="109"/>
      <c r="N4245" s="109"/>
    </row>
    <row r="4246" spans="1:14" s="106" customFormat="1">
      <c r="A4246" s="106" t="s">
        <v>170</v>
      </c>
      <c r="B4246" s="14" t="s">
        <v>78</v>
      </c>
      <c r="C4246" s="14" t="s">
        <v>200</v>
      </c>
      <c r="D4246" s="14">
        <v>2017</v>
      </c>
      <c r="E4246" s="14">
        <v>2018</v>
      </c>
      <c r="F4246" s="14" t="s">
        <v>265</v>
      </c>
      <c r="G4246" s="115">
        <v>156</v>
      </c>
      <c r="H4246" s="115">
        <v>262</v>
      </c>
      <c r="I4246" s="108"/>
      <c r="J4246" s="109">
        <v>1</v>
      </c>
      <c r="K4246" s="109">
        <v>1</v>
      </c>
      <c r="L4246" s="159"/>
      <c r="M4246" s="109"/>
      <c r="N4246" s="109"/>
    </row>
    <row r="4247" spans="1:14" s="106" customFormat="1">
      <c r="A4247" s="106" t="s">
        <v>171</v>
      </c>
      <c r="B4247" s="14" t="s">
        <v>78</v>
      </c>
      <c r="C4247" s="14" t="s">
        <v>200</v>
      </c>
      <c r="D4247" s="14">
        <v>2017</v>
      </c>
      <c r="E4247" s="14">
        <v>2018</v>
      </c>
      <c r="F4247" s="14" t="s">
        <v>265</v>
      </c>
      <c r="G4247" s="115">
        <v>3078</v>
      </c>
      <c r="H4247" s="115">
        <v>6353</v>
      </c>
      <c r="I4247" s="108"/>
      <c r="J4247" s="109">
        <v>0.95348837209302328</v>
      </c>
      <c r="K4247" s="109">
        <v>0.88135593220338981</v>
      </c>
      <c r="L4247" s="159"/>
      <c r="M4247" s="109"/>
      <c r="N4247" s="109"/>
    </row>
    <row r="4248" spans="1:14" s="106" customFormat="1">
      <c r="A4248" s="106" t="s">
        <v>172</v>
      </c>
      <c r="B4248" s="14" t="s">
        <v>77</v>
      </c>
      <c r="C4248" s="14" t="s">
        <v>200</v>
      </c>
      <c r="D4248" s="14">
        <v>2017</v>
      </c>
      <c r="E4248" s="14">
        <v>2018</v>
      </c>
      <c r="F4248" s="14" t="s">
        <v>265</v>
      </c>
      <c r="G4248" s="115">
        <v>20974</v>
      </c>
      <c r="H4248" s="115">
        <v>39153</v>
      </c>
      <c r="I4248" s="108"/>
      <c r="J4248" s="109">
        <v>0.96977329974811088</v>
      </c>
      <c r="K4248" s="109">
        <v>0.96082474226804127</v>
      </c>
      <c r="L4248" s="159"/>
      <c r="M4248" s="109"/>
      <c r="N4248" s="109"/>
    </row>
    <row r="4249" spans="1:14" s="106" customFormat="1">
      <c r="A4249" s="106" t="s">
        <v>173</v>
      </c>
      <c r="B4249" s="14" t="s">
        <v>77</v>
      </c>
      <c r="C4249" s="14" t="s">
        <v>200</v>
      </c>
      <c r="D4249" s="14">
        <v>2017</v>
      </c>
      <c r="E4249" s="14">
        <v>2018</v>
      </c>
      <c r="F4249" s="14" t="s">
        <v>265</v>
      </c>
      <c r="G4249" s="115">
        <v>16881</v>
      </c>
      <c r="H4249" s="115">
        <v>29682</v>
      </c>
      <c r="I4249" s="108"/>
      <c r="J4249" s="109">
        <v>0.86422413793103448</v>
      </c>
      <c r="K4249" s="109">
        <v>0.51038575667655783</v>
      </c>
      <c r="L4249" s="159"/>
      <c r="M4249" s="109"/>
      <c r="N4249" s="109"/>
    </row>
    <row r="4250" spans="1:14" s="106" customFormat="1">
      <c r="A4250" s="106" t="s">
        <v>174</v>
      </c>
      <c r="B4250" s="14" t="s">
        <v>78</v>
      </c>
      <c r="C4250" s="14" t="s">
        <v>200</v>
      </c>
      <c r="D4250" s="14">
        <v>2017</v>
      </c>
      <c r="E4250" s="14">
        <v>2018</v>
      </c>
      <c r="F4250" s="14" t="s">
        <v>265</v>
      </c>
      <c r="G4250" s="115">
        <v>38671</v>
      </c>
      <c r="H4250" s="115">
        <v>80673</v>
      </c>
      <c r="I4250" s="108"/>
      <c r="J4250" s="109">
        <v>0.98370197904540158</v>
      </c>
      <c r="K4250" s="109">
        <v>0.94096916299559474</v>
      </c>
      <c r="L4250" s="159"/>
      <c r="M4250" s="109"/>
      <c r="N4250" s="109"/>
    </row>
    <row r="4251" spans="1:14" s="106" customFormat="1">
      <c r="A4251" s="106" t="s">
        <v>175</v>
      </c>
      <c r="B4251" s="14" t="s">
        <v>78</v>
      </c>
      <c r="C4251" s="14" t="s">
        <v>200</v>
      </c>
      <c r="D4251" s="14">
        <v>2017</v>
      </c>
      <c r="E4251" s="14">
        <v>2018</v>
      </c>
      <c r="F4251" s="14" t="s">
        <v>265</v>
      </c>
      <c r="G4251" s="115">
        <v>5359</v>
      </c>
      <c r="H4251" s="115">
        <v>12232</v>
      </c>
      <c r="I4251" s="108"/>
      <c r="J4251" s="109">
        <v>0.97397769516728627</v>
      </c>
      <c r="K4251" s="109">
        <v>0.95169082125603865</v>
      </c>
      <c r="L4251" s="159"/>
      <c r="M4251" s="109"/>
      <c r="N4251" s="109"/>
    </row>
    <row r="4252" spans="1:14" s="106" customFormat="1">
      <c r="A4252" s="106" t="s">
        <v>176</v>
      </c>
      <c r="B4252" s="14" t="s">
        <v>78</v>
      </c>
      <c r="C4252" s="14" t="s">
        <v>200</v>
      </c>
      <c r="D4252" s="14">
        <v>2017</v>
      </c>
      <c r="E4252" s="14">
        <v>2018</v>
      </c>
      <c r="F4252" s="14" t="s">
        <v>265</v>
      </c>
      <c r="G4252" s="115">
        <v>4159</v>
      </c>
      <c r="H4252" s="115">
        <v>9011</v>
      </c>
      <c r="I4252" s="108"/>
      <c r="J4252" s="109">
        <v>0.89671361502347413</v>
      </c>
      <c r="K4252" s="109">
        <v>0.94557823129251706</v>
      </c>
      <c r="L4252" s="159"/>
      <c r="M4252" s="109"/>
      <c r="N4252" s="109"/>
    </row>
    <row r="4253" spans="1:14" s="106" customFormat="1">
      <c r="A4253" s="106" t="s">
        <v>177</v>
      </c>
      <c r="B4253" s="14" t="s">
        <v>78</v>
      </c>
      <c r="C4253" s="14" t="s">
        <v>200</v>
      </c>
      <c r="D4253" s="14">
        <v>2017</v>
      </c>
      <c r="E4253" s="14">
        <v>2018</v>
      </c>
      <c r="F4253" s="14" t="s">
        <v>265</v>
      </c>
      <c r="G4253" s="115">
        <v>986</v>
      </c>
      <c r="H4253" s="115">
        <v>1685</v>
      </c>
      <c r="I4253" s="108"/>
      <c r="J4253" s="109">
        <v>0.984375</v>
      </c>
      <c r="K4253" s="109">
        <v>0.63636363636363635</v>
      </c>
      <c r="L4253" s="159"/>
      <c r="M4253" s="109"/>
      <c r="N4253" s="109"/>
    </row>
    <row r="4254" spans="1:14" s="106" customFormat="1">
      <c r="A4254" s="106" t="s">
        <v>178</v>
      </c>
      <c r="B4254" s="14" t="s">
        <v>77</v>
      </c>
      <c r="C4254" s="14" t="s">
        <v>200</v>
      </c>
      <c r="D4254" s="14">
        <v>2017</v>
      </c>
      <c r="E4254" s="14">
        <v>2018</v>
      </c>
      <c r="F4254" s="14" t="s">
        <v>265</v>
      </c>
      <c r="G4254" s="115">
        <v>51026</v>
      </c>
      <c r="H4254" s="115">
        <v>117544</v>
      </c>
      <c r="I4254" s="108"/>
      <c r="J4254" s="109">
        <v>0.99417475728155336</v>
      </c>
      <c r="K4254" s="109">
        <v>0.82352941176470584</v>
      </c>
      <c r="L4254" s="159"/>
      <c r="M4254" s="109"/>
      <c r="N4254" s="109"/>
    </row>
    <row r="4255" spans="1:14" s="106" customFormat="1">
      <c r="A4255" s="106" t="s">
        <v>179</v>
      </c>
      <c r="B4255" s="14" t="s">
        <v>78</v>
      </c>
      <c r="C4255" s="14" t="s">
        <v>200</v>
      </c>
      <c r="D4255" s="14">
        <v>2017</v>
      </c>
      <c r="E4255" s="14">
        <v>2018</v>
      </c>
      <c r="F4255" s="14" t="s">
        <v>265</v>
      </c>
      <c r="G4255" s="115">
        <v>2684</v>
      </c>
      <c r="H4255" s="115">
        <v>4725</v>
      </c>
      <c r="I4255" s="108"/>
      <c r="J4255" s="109">
        <v>0.97457627118644063</v>
      </c>
      <c r="K4255" s="109">
        <v>0.97222222222222221</v>
      </c>
      <c r="L4255" s="159"/>
      <c r="M4255" s="109"/>
      <c r="N4255" s="109"/>
    </row>
    <row r="4256" spans="1:14" s="106" customFormat="1">
      <c r="A4256" s="106" t="s">
        <v>180</v>
      </c>
      <c r="B4256" s="14" t="s">
        <v>77</v>
      </c>
      <c r="C4256" s="14" t="s">
        <v>200</v>
      </c>
      <c r="D4256" s="14">
        <v>2017</v>
      </c>
      <c r="E4256" s="14">
        <v>2018</v>
      </c>
      <c r="F4256" s="14" t="s">
        <v>265</v>
      </c>
      <c r="G4256" s="115">
        <v>34448</v>
      </c>
      <c r="H4256" s="115">
        <v>67604</v>
      </c>
      <c r="I4256" s="108"/>
      <c r="J4256" s="109">
        <v>0.98945286750164796</v>
      </c>
      <c r="K4256" s="109">
        <v>0.95342465753424654</v>
      </c>
      <c r="L4256" s="159"/>
      <c r="M4256" s="109"/>
      <c r="N4256" s="109"/>
    </row>
    <row r="4257" spans="1:14" s="106" customFormat="1">
      <c r="A4257" s="106" t="s">
        <v>181</v>
      </c>
      <c r="B4257" s="14" t="s">
        <v>77</v>
      </c>
      <c r="C4257" s="14" t="s">
        <v>200</v>
      </c>
      <c r="D4257" s="14">
        <v>2017</v>
      </c>
      <c r="E4257" s="14">
        <v>2018</v>
      </c>
      <c r="F4257" s="14" t="s">
        <v>265</v>
      </c>
      <c r="G4257" s="115">
        <v>10146</v>
      </c>
      <c r="H4257" s="115">
        <v>18712</v>
      </c>
      <c r="I4257" s="108"/>
      <c r="J4257" s="109">
        <v>0.81632653061224492</v>
      </c>
      <c r="K4257" s="109">
        <v>0.86448598130841126</v>
      </c>
      <c r="L4257" s="159"/>
      <c r="M4257" s="109"/>
      <c r="N4257" s="109"/>
    </row>
    <row r="4258" spans="1:14" s="106" customFormat="1">
      <c r="A4258" s="106" t="s">
        <v>182</v>
      </c>
      <c r="B4258" s="14" t="s">
        <v>78</v>
      </c>
      <c r="C4258" s="14" t="s">
        <v>200</v>
      </c>
      <c r="D4258" s="14">
        <v>2017</v>
      </c>
      <c r="E4258" s="14">
        <v>2018</v>
      </c>
      <c r="F4258" s="14" t="s">
        <v>265</v>
      </c>
      <c r="G4258" s="115">
        <v>5989</v>
      </c>
      <c r="H4258" s="115">
        <v>12838</v>
      </c>
      <c r="I4258" s="108"/>
      <c r="J4258" s="109">
        <v>0.98559077809798268</v>
      </c>
      <c r="K4258" s="109">
        <v>0.97265625</v>
      </c>
      <c r="L4258" s="159"/>
      <c r="M4258" s="109"/>
      <c r="N4258" s="109"/>
    </row>
    <row r="4259" spans="1:14" s="106" customFormat="1">
      <c r="A4259" s="56" t="s">
        <v>183</v>
      </c>
      <c r="B4259" s="14" t="s">
        <v>66</v>
      </c>
      <c r="C4259" s="14" t="s">
        <v>3</v>
      </c>
      <c r="D4259" s="14">
        <v>2018</v>
      </c>
      <c r="E4259" s="14">
        <v>2018</v>
      </c>
      <c r="F4259" s="14" t="s">
        <v>265</v>
      </c>
      <c r="G4259" s="115">
        <v>1978933</v>
      </c>
      <c r="H4259" s="115">
        <v>4036001</v>
      </c>
      <c r="I4259" s="108"/>
      <c r="J4259" s="109">
        <v>0.97950903442073423</v>
      </c>
      <c r="K4259" s="109">
        <v>0.90960405489912122</v>
      </c>
      <c r="L4259" s="159"/>
      <c r="M4259" s="109"/>
      <c r="N4259" s="109"/>
    </row>
    <row r="4260" spans="1:14" s="106" customFormat="1">
      <c r="A4260" s="56" t="s">
        <v>184</v>
      </c>
      <c r="B4260" s="14" t="s">
        <v>77</v>
      </c>
      <c r="C4260" s="14" t="s">
        <v>3</v>
      </c>
      <c r="D4260" s="14">
        <v>2018</v>
      </c>
      <c r="E4260" s="14">
        <v>2018</v>
      </c>
      <c r="F4260" s="14" t="s">
        <v>265</v>
      </c>
      <c r="G4260" s="115">
        <v>56497</v>
      </c>
      <c r="H4260" s="115">
        <v>104937</v>
      </c>
      <c r="I4260" s="108"/>
      <c r="J4260" s="30" t="s">
        <v>66</v>
      </c>
      <c r="K4260" s="30" t="s">
        <v>66</v>
      </c>
      <c r="L4260" s="159"/>
      <c r="M4260" s="109"/>
      <c r="N4260" s="109"/>
    </row>
    <row r="4261" spans="1:14" s="106" customFormat="1">
      <c r="A4261" s="56" t="s">
        <v>185</v>
      </c>
      <c r="B4261" s="14" t="s">
        <v>78</v>
      </c>
      <c r="C4261" s="14" t="s">
        <v>3</v>
      </c>
      <c r="D4261" s="14">
        <v>2018</v>
      </c>
      <c r="E4261" s="14">
        <v>2018</v>
      </c>
      <c r="F4261" s="14" t="s">
        <v>265</v>
      </c>
      <c r="G4261" s="115">
        <v>79</v>
      </c>
      <c r="H4261" s="115">
        <v>139</v>
      </c>
      <c r="I4261" s="108"/>
      <c r="J4261" s="109">
        <v>1</v>
      </c>
      <c r="K4261" s="109">
        <v>1</v>
      </c>
      <c r="L4261" s="159"/>
      <c r="M4261" s="109"/>
      <c r="N4261" s="109"/>
    </row>
    <row r="4262" spans="1:14" s="106" customFormat="1">
      <c r="A4262" s="56" t="s">
        <v>186</v>
      </c>
      <c r="B4262" s="14" t="s">
        <v>78</v>
      </c>
      <c r="C4262" s="14" t="s">
        <v>3</v>
      </c>
      <c r="D4262" s="14">
        <v>2018</v>
      </c>
      <c r="E4262" s="14">
        <v>2018</v>
      </c>
      <c r="F4262" s="14" t="s">
        <v>265</v>
      </c>
      <c r="G4262" s="115">
        <v>1609</v>
      </c>
      <c r="H4262" s="115">
        <v>2915</v>
      </c>
      <c r="I4262" s="108"/>
      <c r="J4262" s="109">
        <v>1</v>
      </c>
      <c r="K4262" s="109">
        <v>0.98461538461538467</v>
      </c>
      <c r="L4262" s="159"/>
      <c r="M4262" s="109"/>
      <c r="N4262" s="109"/>
    </row>
    <row r="4263" spans="1:14" s="106" customFormat="1">
      <c r="A4263" s="56" t="s">
        <v>187</v>
      </c>
      <c r="B4263" s="14" t="s">
        <v>78</v>
      </c>
      <c r="C4263" s="14" t="s">
        <v>3</v>
      </c>
      <c r="D4263" s="14">
        <v>2018</v>
      </c>
      <c r="E4263" s="14">
        <v>2018</v>
      </c>
      <c r="F4263" s="14" t="s">
        <v>265</v>
      </c>
      <c r="G4263" s="115">
        <v>17012</v>
      </c>
      <c r="H4263" s="115">
        <v>31060</v>
      </c>
      <c r="I4263" s="108"/>
      <c r="J4263" s="109">
        <v>0.93989071038251371</v>
      </c>
      <c r="K4263" s="109">
        <v>0.94459459459459461</v>
      </c>
      <c r="L4263" s="159"/>
      <c r="M4263" s="109"/>
      <c r="N4263" s="109"/>
    </row>
    <row r="4264" spans="1:14" s="106" customFormat="1">
      <c r="A4264" s="56" t="s">
        <v>188</v>
      </c>
      <c r="B4264" s="14" t="s">
        <v>78</v>
      </c>
      <c r="C4264" s="14" t="s">
        <v>3</v>
      </c>
      <c r="D4264" s="14">
        <v>2018</v>
      </c>
      <c r="E4264" s="14">
        <v>2018</v>
      </c>
      <c r="F4264" s="14" t="s">
        <v>265</v>
      </c>
      <c r="G4264" s="115">
        <v>2770</v>
      </c>
      <c r="H4264" s="115">
        <v>4993</v>
      </c>
      <c r="I4264" s="108"/>
      <c r="J4264" s="109">
        <v>0.9726027397260274</v>
      </c>
      <c r="K4264" s="109">
        <v>0.95652173913043481</v>
      </c>
      <c r="L4264" s="159"/>
      <c r="M4264" s="109"/>
      <c r="N4264" s="109"/>
    </row>
    <row r="4265" spans="1:14" s="106" customFormat="1">
      <c r="A4265" s="56" t="s">
        <v>189</v>
      </c>
      <c r="B4265" s="14" t="s">
        <v>78</v>
      </c>
      <c r="C4265" s="14" t="s">
        <v>3</v>
      </c>
      <c r="D4265" s="14">
        <v>2018</v>
      </c>
      <c r="E4265" s="14">
        <v>2018</v>
      </c>
      <c r="F4265" s="14" t="s">
        <v>265</v>
      </c>
      <c r="G4265" s="115">
        <v>682</v>
      </c>
      <c r="H4265" s="115">
        <v>1486</v>
      </c>
      <c r="I4265" s="108"/>
      <c r="J4265" s="109">
        <v>0.90476190476190477</v>
      </c>
      <c r="K4265" s="109">
        <v>0.96875</v>
      </c>
      <c r="L4265" s="159"/>
      <c r="M4265" s="109"/>
      <c r="N4265" s="109"/>
    </row>
    <row r="4266" spans="1:14" s="106" customFormat="1">
      <c r="A4266" s="56" t="s">
        <v>190</v>
      </c>
      <c r="B4266" s="14" t="s">
        <v>77</v>
      </c>
      <c r="C4266" s="14" t="s">
        <v>3</v>
      </c>
      <c r="D4266" s="14">
        <v>2018</v>
      </c>
      <c r="E4266" s="14">
        <v>2018</v>
      </c>
      <c r="F4266" s="14" t="s">
        <v>265</v>
      </c>
      <c r="G4266" s="115">
        <v>31436</v>
      </c>
      <c r="H4266" s="115">
        <v>62160</v>
      </c>
      <c r="I4266" s="108"/>
      <c r="J4266" s="109">
        <v>0.97906755470980023</v>
      </c>
      <c r="K4266" s="109">
        <v>0.97919999999999996</v>
      </c>
      <c r="L4266" s="159"/>
      <c r="M4266" s="109"/>
      <c r="N4266" s="109"/>
    </row>
    <row r="4267" spans="1:14" s="106" customFormat="1">
      <c r="A4267" s="56" t="s">
        <v>191</v>
      </c>
      <c r="B4267" s="14" t="s">
        <v>78</v>
      </c>
      <c r="C4267" s="14" t="s">
        <v>3</v>
      </c>
      <c r="D4267" s="14">
        <v>2018</v>
      </c>
      <c r="E4267" s="14">
        <v>2018</v>
      </c>
      <c r="F4267" s="14" t="s">
        <v>265</v>
      </c>
      <c r="G4267" s="115">
        <v>2602</v>
      </c>
      <c r="H4267" s="115">
        <v>5196</v>
      </c>
      <c r="I4267" s="108"/>
      <c r="J4267" s="109">
        <v>1</v>
      </c>
      <c r="K4267" s="109">
        <v>0.85333333333333339</v>
      </c>
      <c r="L4267" s="159"/>
      <c r="M4267" s="109"/>
      <c r="N4267" s="109"/>
    </row>
    <row r="4268" spans="1:14" s="106" customFormat="1">
      <c r="A4268" s="56" t="s">
        <v>192</v>
      </c>
      <c r="B4268" s="14" t="s">
        <v>78</v>
      </c>
      <c r="C4268" s="14" t="s">
        <v>3</v>
      </c>
      <c r="D4268" s="14">
        <v>2018</v>
      </c>
      <c r="E4268" s="14">
        <v>2018</v>
      </c>
      <c r="F4268" s="14" t="s">
        <v>265</v>
      </c>
      <c r="G4268" s="115">
        <v>6529</v>
      </c>
      <c r="H4268" s="115">
        <v>11339</v>
      </c>
      <c r="I4268" s="108"/>
      <c r="J4268" s="109">
        <v>0.99085365853658536</v>
      </c>
      <c r="K4268" s="109">
        <v>1</v>
      </c>
      <c r="L4268" s="159"/>
      <c r="M4268" s="109"/>
      <c r="N4268" s="109"/>
    </row>
    <row r="4269" spans="1:14" s="106" customFormat="1">
      <c r="A4269" s="106" t="s">
        <v>134</v>
      </c>
      <c r="B4269" s="14" t="s">
        <v>77</v>
      </c>
      <c r="C4269" s="14" t="s">
        <v>3</v>
      </c>
      <c r="D4269" s="14">
        <v>2018</v>
      </c>
      <c r="E4269" s="14">
        <v>2018</v>
      </c>
      <c r="F4269" s="14" t="s">
        <v>265</v>
      </c>
      <c r="G4269" s="115">
        <v>89469</v>
      </c>
      <c r="H4269" s="115">
        <v>205875</v>
      </c>
      <c r="I4269" s="108"/>
      <c r="J4269" s="109">
        <v>0.94232331437855399</v>
      </c>
      <c r="K4269" s="109">
        <v>0.69015544041450783</v>
      </c>
      <c r="L4269" s="159"/>
      <c r="M4269" s="109"/>
      <c r="N4269" s="109"/>
    </row>
    <row r="4270" spans="1:14" s="106" customFormat="1">
      <c r="A4270" s="106" t="s">
        <v>135</v>
      </c>
      <c r="B4270" s="14" t="s">
        <v>78</v>
      </c>
      <c r="C4270" s="14" t="s">
        <v>3</v>
      </c>
      <c r="D4270" s="14">
        <v>2018</v>
      </c>
      <c r="E4270" s="14">
        <v>2018</v>
      </c>
      <c r="F4270" s="14" t="s">
        <v>265</v>
      </c>
      <c r="G4270" s="115">
        <v>1493</v>
      </c>
      <c r="H4270" s="115">
        <v>3425</v>
      </c>
      <c r="I4270" s="108"/>
      <c r="J4270" s="109">
        <v>0.92405063291139244</v>
      </c>
      <c r="K4270" s="109">
        <v>0.98039215686274506</v>
      </c>
      <c r="L4270" s="159"/>
      <c r="M4270" s="109"/>
      <c r="N4270" s="109"/>
    </row>
    <row r="4271" spans="1:14" s="106" customFormat="1">
      <c r="A4271" s="106" t="s">
        <v>136</v>
      </c>
      <c r="B4271" s="14" t="s">
        <v>78</v>
      </c>
      <c r="C4271" s="14" t="s">
        <v>3</v>
      </c>
      <c r="D4271" s="14">
        <v>2018</v>
      </c>
      <c r="E4271" s="14">
        <v>2018</v>
      </c>
      <c r="F4271" s="14" t="s">
        <v>265</v>
      </c>
      <c r="G4271" s="115">
        <v>12025</v>
      </c>
      <c r="H4271" s="115">
        <v>20071</v>
      </c>
      <c r="I4271" s="108"/>
      <c r="J4271" s="109">
        <v>0.98493975903614461</v>
      </c>
      <c r="K4271" s="109">
        <v>0.9854469854469855</v>
      </c>
      <c r="L4271" s="159"/>
      <c r="M4271" s="109"/>
      <c r="N4271" s="109"/>
    </row>
    <row r="4272" spans="1:14" s="106" customFormat="1">
      <c r="A4272" s="106" t="s">
        <v>137</v>
      </c>
      <c r="B4272" s="14" t="s">
        <v>78</v>
      </c>
      <c r="C4272" s="14" t="s">
        <v>3</v>
      </c>
      <c r="D4272" s="14">
        <v>2018</v>
      </c>
      <c r="E4272" s="14">
        <v>2018</v>
      </c>
      <c r="F4272" s="14" t="s">
        <v>265</v>
      </c>
      <c r="G4272" s="115">
        <v>17149</v>
      </c>
      <c r="H4272" s="115">
        <v>41050</v>
      </c>
      <c r="I4272" s="108"/>
      <c r="J4272" s="109">
        <v>0.97236842105263155</v>
      </c>
      <c r="K4272" s="109">
        <v>0.92750533049040507</v>
      </c>
      <c r="L4272" s="159"/>
      <c r="M4272" s="109"/>
      <c r="N4272" s="109"/>
    </row>
    <row r="4273" spans="1:14" s="106" customFormat="1">
      <c r="A4273" s="106" t="s">
        <v>138</v>
      </c>
      <c r="B4273" s="14" t="s">
        <v>78</v>
      </c>
      <c r="C4273" s="14" t="s">
        <v>3</v>
      </c>
      <c r="D4273" s="14">
        <v>2018</v>
      </c>
      <c r="E4273" s="14">
        <v>2018</v>
      </c>
      <c r="F4273" s="14" t="s">
        <v>265</v>
      </c>
      <c r="G4273" s="115">
        <v>1033</v>
      </c>
      <c r="H4273" s="115">
        <v>2002</v>
      </c>
      <c r="I4273" s="108"/>
      <c r="J4273" s="109">
        <v>1</v>
      </c>
      <c r="K4273" s="109">
        <v>0.87234042553191493</v>
      </c>
      <c r="L4273" s="159"/>
      <c r="M4273" s="109"/>
      <c r="N4273" s="109"/>
    </row>
    <row r="4274" spans="1:14" s="106" customFormat="1">
      <c r="A4274" s="106" t="s">
        <v>139</v>
      </c>
      <c r="B4274" s="14" t="s">
        <v>78</v>
      </c>
      <c r="C4274" s="14" t="s">
        <v>3</v>
      </c>
      <c r="D4274" s="14">
        <v>2018</v>
      </c>
      <c r="E4274" s="14">
        <v>2018</v>
      </c>
      <c r="F4274" s="14" t="s">
        <v>265</v>
      </c>
      <c r="G4274" s="115">
        <v>68299</v>
      </c>
      <c r="H4274" s="115">
        <v>157208</v>
      </c>
      <c r="I4274" s="108"/>
      <c r="J4274" s="109">
        <v>0.98085053469286243</v>
      </c>
      <c r="K4274" s="109">
        <v>0.90787019768743005</v>
      </c>
      <c r="L4274" s="159"/>
      <c r="M4274" s="109"/>
      <c r="N4274" s="109"/>
    </row>
    <row r="4275" spans="1:14" s="106" customFormat="1">
      <c r="A4275" s="106" t="s">
        <v>140</v>
      </c>
      <c r="B4275" s="14" t="s">
        <v>78</v>
      </c>
      <c r="C4275" s="14" t="s">
        <v>3</v>
      </c>
      <c r="D4275" s="14">
        <v>2018</v>
      </c>
      <c r="E4275" s="14">
        <v>2018</v>
      </c>
      <c r="F4275" s="14" t="s">
        <v>265</v>
      </c>
      <c r="G4275" s="115">
        <v>10770</v>
      </c>
      <c r="H4275" s="115">
        <v>23971</v>
      </c>
      <c r="I4275" s="108"/>
      <c r="J4275" s="109">
        <v>0.99294781382228492</v>
      </c>
      <c r="K4275" s="109">
        <v>0.94541910331384016</v>
      </c>
      <c r="L4275" s="159"/>
      <c r="M4275" s="109"/>
      <c r="N4275" s="109"/>
    </row>
    <row r="4276" spans="1:14" s="106" customFormat="1">
      <c r="A4276" s="106" t="s">
        <v>141</v>
      </c>
      <c r="B4276" s="14" t="s">
        <v>78</v>
      </c>
      <c r="C4276" s="14" t="s">
        <v>3</v>
      </c>
      <c r="D4276" s="14">
        <v>2018</v>
      </c>
      <c r="E4276" s="14">
        <v>2018</v>
      </c>
      <c r="F4276" s="14" t="s">
        <v>265</v>
      </c>
      <c r="G4276" s="115">
        <v>6396</v>
      </c>
      <c r="H4276" s="115">
        <v>11684</v>
      </c>
      <c r="I4276" s="108"/>
      <c r="J4276" s="109">
        <v>0.90490797546012269</v>
      </c>
      <c r="K4276" s="109">
        <v>0.92050209205020916</v>
      </c>
      <c r="L4276" s="159"/>
      <c r="M4276" s="109"/>
      <c r="N4276" s="109"/>
    </row>
    <row r="4277" spans="1:14" s="106" customFormat="1">
      <c r="A4277" s="106" t="s">
        <v>142</v>
      </c>
      <c r="B4277" s="14" t="s">
        <v>78</v>
      </c>
      <c r="C4277" s="14" t="s">
        <v>3</v>
      </c>
      <c r="D4277" s="14">
        <v>2018</v>
      </c>
      <c r="E4277" s="14">
        <v>2018</v>
      </c>
      <c r="F4277" s="14" t="s">
        <v>265</v>
      </c>
      <c r="G4277" s="115">
        <v>1515</v>
      </c>
      <c r="H4277" s="115">
        <v>3044</v>
      </c>
      <c r="I4277" s="108"/>
      <c r="J4277" s="109">
        <v>0.93975903614457834</v>
      </c>
      <c r="K4277" s="109">
        <v>0.73913043478260865</v>
      </c>
      <c r="L4277" s="159"/>
      <c r="M4277" s="109"/>
      <c r="N4277" s="109"/>
    </row>
    <row r="4278" spans="1:14" s="106" customFormat="1">
      <c r="A4278" s="106" t="s">
        <v>143</v>
      </c>
      <c r="B4278" s="14" t="s">
        <v>79</v>
      </c>
      <c r="C4278" s="14" t="s">
        <v>3</v>
      </c>
      <c r="D4278" s="14">
        <v>2018</v>
      </c>
      <c r="E4278" s="14">
        <v>2018</v>
      </c>
      <c r="F4278" s="14" t="s">
        <v>265</v>
      </c>
      <c r="G4278" s="115">
        <v>555624</v>
      </c>
      <c r="H4278" s="115">
        <v>1097151</v>
      </c>
      <c r="I4278" s="108"/>
      <c r="J4278" s="109">
        <v>0.99184549356223173</v>
      </c>
      <c r="K4278" s="109">
        <v>0.91588909034626098</v>
      </c>
      <c r="L4278" s="159"/>
      <c r="M4278" s="109"/>
      <c r="N4278" s="109"/>
    </row>
    <row r="4279" spans="1:14" s="106" customFormat="1">
      <c r="A4279" s="106" t="s">
        <v>144</v>
      </c>
      <c r="B4279" s="14" t="s">
        <v>78</v>
      </c>
      <c r="C4279" s="14" t="s">
        <v>3</v>
      </c>
      <c r="D4279" s="14">
        <v>2018</v>
      </c>
      <c r="E4279" s="14">
        <v>2018</v>
      </c>
      <c r="F4279" s="14" t="s">
        <v>265</v>
      </c>
      <c r="G4279" s="115">
        <v>11370</v>
      </c>
      <c r="H4279" s="115">
        <v>27424</v>
      </c>
      <c r="I4279" s="108"/>
      <c r="J4279" s="109">
        <v>0.99411764705882355</v>
      </c>
      <c r="K4279" s="109">
        <v>0.97826086956521741</v>
      </c>
      <c r="L4279" s="159"/>
      <c r="M4279" s="109"/>
      <c r="N4279" s="109"/>
    </row>
    <row r="4280" spans="1:14" s="106" customFormat="1">
      <c r="A4280" s="106" t="s">
        <v>145</v>
      </c>
      <c r="B4280" s="14" t="s">
        <v>78</v>
      </c>
      <c r="C4280" s="14" t="s">
        <v>3</v>
      </c>
      <c r="D4280" s="14">
        <v>2018</v>
      </c>
      <c r="E4280" s="14">
        <v>2018</v>
      </c>
      <c r="F4280" s="14" t="s">
        <v>265</v>
      </c>
      <c r="G4280" s="115">
        <v>6007</v>
      </c>
      <c r="H4280" s="115">
        <v>9872</v>
      </c>
      <c r="I4280" s="108"/>
      <c r="J4280" s="109">
        <v>0.991044776119403</v>
      </c>
      <c r="K4280" s="109">
        <v>0.90783410138248843</v>
      </c>
      <c r="L4280" s="159"/>
      <c r="M4280" s="109"/>
      <c r="N4280" s="109"/>
    </row>
    <row r="4281" spans="1:14" s="106" customFormat="1">
      <c r="A4281" s="106" t="s">
        <v>146</v>
      </c>
      <c r="B4281" s="14" t="s">
        <v>78</v>
      </c>
      <c r="C4281" s="14" t="s">
        <v>3</v>
      </c>
      <c r="D4281" s="14">
        <v>2018</v>
      </c>
      <c r="E4281" s="14">
        <v>2018</v>
      </c>
      <c r="F4281" s="14" t="s">
        <v>265</v>
      </c>
      <c r="G4281" s="115">
        <v>1039</v>
      </c>
      <c r="H4281" s="115">
        <v>1926</v>
      </c>
      <c r="I4281" s="108"/>
      <c r="J4281" s="109">
        <v>0.98039215686274506</v>
      </c>
      <c r="K4281" s="109">
        <v>0.97368421052631582</v>
      </c>
      <c r="L4281" s="159"/>
      <c r="M4281" s="109"/>
      <c r="N4281" s="109"/>
    </row>
    <row r="4282" spans="1:14" s="106" customFormat="1">
      <c r="A4282" s="106" t="s">
        <v>147</v>
      </c>
      <c r="B4282" s="14" t="s">
        <v>78</v>
      </c>
      <c r="C4282" s="14" t="s">
        <v>3</v>
      </c>
      <c r="D4282" s="14">
        <v>2018</v>
      </c>
      <c r="E4282" s="14">
        <v>2018</v>
      </c>
      <c r="F4282" s="14" t="s">
        <v>265</v>
      </c>
      <c r="G4282" s="115">
        <v>6287</v>
      </c>
      <c r="H4282" s="115">
        <v>11559</v>
      </c>
      <c r="I4282" s="108"/>
      <c r="J4282" s="109">
        <v>0.93939393939393945</v>
      </c>
      <c r="K4282" s="109">
        <v>0.88102893890675238</v>
      </c>
      <c r="L4282" s="159"/>
      <c r="M4282" s="109"/>
      <c r="N4282" s="109"/>
    </row>
    <row r="4283" spans="1:14" s="106" customFormat="1">
      <c r="A4283" s="106" t="s">
        <v>148</v>
      </c>
      <c r="B4283" s="14" t="s">
        <v>78</v>
      </c>
      <c r="C4283" s="14" t="s">
        <v>3</v>
      </c>
      <c r="D4283" s="14">
        <v>2018</v>
      </c>
      <c r="E4283" s="14">
        <v>2018</v>
      </c>
      <c r="F4283" s="14" t="s">
        <v>265</v>
      </c>
      <c r="G4283" s="115">
        <v>23163</v>
      </c>
      <c r="H4283" s="115">
        <v>53153</v>
      </c>
      <c r="I4283" s="108"/>
      <c r="J4283" s="109">
        <v>0.97720797720797725</v>
      </c>
      <c r="K4283" s="109">
        <v>0.97278911564625847</v>
      </c>
      <c r="L4283" s="159"/>
      <c r="M4283" s="109"/>
      <c r="N4283" s="109"/>
    </row>
    <row r="4284" spans="1:14" s="106" customFormat="1">
      <c r="A4284" s="106" t="s">
        <v>149</v>
      </c>
      <c r="B4284" s="14" t="s">
        <v>78</v>
      </c>
      <c r="C4284" s="14" t="s">
        <v>3</v>
      </c>
      <c r="D4284" s="14">
        <v>2018</v>
      </c>
      <c r="E4284" s="14">
        <v>2018</v>
      </c>
      <c r="F4284" s="14" t="s">
        <v>265</v>
      </c>
      <c r="G4284" s="115">
        <v>594</v>
      </c>
      <c r="H4284" s="115">
        <v>1244</v>
      </c>
      <c r="I4284" s="108"/>
      <c r="J4284" s="109">
        <v>0.97222222222222221</v>
      </c>
      <c r="K4284" s="109">
        <v>0.96296296296296291</v>
      </c>
      <c r="L4284" s="159"/>
      <c r="M4284" s="109"/>
      <c r="N4284" s="109"/>
    </row>
    <row r="4285" spans="1:14" s="106" customFormat="1">
      <c r="A4285" s="106" t="s">
        <v>150</v>
      </c>
      <c r="B4285" s="14" t="s">
        <v>78</v>
      </c>
      <c r="C4285" s="14" t="s">
        <v>3</v>
      </c>
      <c r="D4285" s="14">
        <v>2018</v>
      </c>
      <c r="E4285" s="14">
        <v>2018</v>
      </c>
      <c r="F4285" s="14" t="s">
        <v>265</v>
      </c>
      <c r="G4285" s="115">
        <v>401</v>
      </c>
      <c r="H4285" s="115">
        <v>697</v>
      </c>
      <c r="I4285" s="108"/>
      <c r="J4285" s="109">
        <v>0.95238095238095233</v>
      </c>
      <c r="K4285" s="109">
        <v>0.9375</v>
      </c>
      <c r="L4285" s="159"/>
      <c r="M4285" s="109"/>
      <c r="N4285" s="109"/>
    </row>
    <row r="4286" spans="1:14" s="106" customFormat="1">
      <c r="A4286" s="106" t="s">
        <v>151</v>
      </c>
      <c r="B4286" s="14" t="s">
        <v>78</v>
      </c>
      <c r="C4286" s="14" t="s">
        <v>3</v>
      </c>
      <c r="D4286" s="14">
        <v>2018</v>
      </c>
      <c r="E4286" s="14">
        <v>2018</v>
      </c>
      <c r="F4286" s="14" t="s">
        <v>265</v>
      </c>
      <c r="G4286" s="115">
        <v>21204</v>
      </c>
      <c r="H4286" s="115">
        <v>47217</v>
      </c>
      <c r="I4286" s="108"/>
      <c r="J4286" s="109">
        <v>0.969896004378763</v>
      </c>
      <c r="K4286" s="109">
        <v>0.9247787610619469</v>
      </c>
      <c r="L4286" s="159"/>
      <c r="M4286" s="109"/>
      <c r="N4286" s="109"/>
    </row>
    <row r="4287" spans="1:14" s="106" customFormat="1">
      <c r="A4287" s="106" t="s">
        <v>152</v>
      </c>
      <c r="B4287" s="14" t="s">
        <v>78</v>
      </c>
      <c r="C4287" s="14" t="s">
        <v>3</v>
      </c>
      <c r="D4287" s="14">
        <v>2018</v>
      </c>
      <c r="E4287" s="14">
        <v>2018</v>
      </c>
      <c r="F4287" s="14" t="s">
        <v>265</v>
      </c>
      <c r="G4287" s="115">
        <v>3062</v>
      </c>
      <c r="H4287" s="115">
        <v>6110</v>
      </c>
      <c r="I4287" s="108"/>
      <c r="J4287" s="109">
        <v>0.89655172413793105</v>
      </c>
      <c r="K4287" s="109">
        <v>0.86238532110091748</v>
      </c>
      <c r="L4287" s="159"/>
      <c r="M4287" s="109"/>
      <c r="N4287" s="109"/>
    </row>
    <row r="4288" spans="1:14" s="106" customFormat="1">
      <c r="A4288" s="106" t="s">
        <v>153</v>
      </c>
      <c r="B4288" s="14" t="s">
        <v>78</v>
      </c>
      <c r="C4288" s="14" t="s">
        <v>3</v>
      </c>
      <c r="D4288" s="14">
        <v>2018</v>
      </c>
      <c r="E4288" s="14">
        <v>2018</v>
      </c>
      <c r="F4288" s="14" t="s">
        <v>265</v>
      </c>
      <c r="G4288" s="115">
        <v>4019</v>
      </c>
      <c r="H4288" s="115">
        <v>6901</v>
      </c>
      <c r="I4288" s="108"/>
      <c r="J4288" s="109">
        <v>0.73684210526315796</v>
      </c>
      <c r="K4288" s="109">
        <v>0.76162790697674421</v>
      </c>
      <c r="L4288" s="159"/>
      <c r="M4288" s="109"/>
      <c r="N4288" s="109"/>
    </row>
    <row r="4289" spans="1:14" s="106" customFormat="1">
      <c r="A4289" s="106" t="s">
        <v>154</v>
      </c>
      <c r="B4289" s="14" t="s">
        <v>77</v>
      </c>
      <c r="C4289" s="14" t="s">
        <v>3</v>
      </c>
      <c r="D4289" s="14">
        <v>2018</v>
      </c>
      <c r="E4289" s="14">
        <v>2018</v>
      </c>
      <c r="F4289" s="14" t="s">
        <v>265</v>
      </c>
      <c r="G4289" s="115">
        <v>113584</v>
      </c>
      <c r="H4289" s="115">
        <v>226935</v>
      </c>
      <c r="I4289" s="108"/>
      <c r="J4289" s="109">
        <v>0.98945019273686341</v>
      </c>
      <c r="K4289" s="109">
        <v>0.99809741248097417</v>
      </c>
      <c r="L4289" s="159"/>
      <c r="M4289" s="109"/>
      <c r="N4289" s="109"/>
    </row>
    <row r="4290" spans="1:14" s="106" customFormat="1">
      <c r="A4290" s="106" t="s">
        <v>155</v>
      </c>
      <c r="B4290" s="14" t="s">
        <v>77</v>
      </c>
      <c r="C4290" s="14" t="s">
        <v>3</v>
      </c>
      <c r="D4290" s="14">
        <v>2018</v>
      </c>
      <c r="E4290" s="14">
        <v>2018</v>
      </c>
      <c r="F4290" s="14" t="s">
        <v>265</v>
      </c>
      <c r="G4290" s="115">
        <v>8576</v>
      </c>
      <c r="H4290" s="115">
        <v>15802</v>
      </c>
      <c r="I4290" s="108"/>
      <c r="J4290" s="109">
        <v>1</v>
      </c>
      <c r="K4290" s="109">
        <v>0.91221374045801529</v>
      </c>
      <c r="L4290" s="159"/>
      <c r="M4290" s="109"/>
      <c r="N4290" s="109"/>
    </row>
    <row r="4291" spans="1:14" s="106" customFormat="1">
      <c r="A4291" s="106" t="s">
        <v>156</v>
      </c>
      <c r="B4291" s="14" t="s">
        <v>78</v>
      </c>
      <c r="C4291" s="14" t="s">
        <v>3</v>
      </c>
      <c r="D4291" s="14">
        <v>2018</v>
      </c>
      <c r="E4291" s="14">
        <v>2018</v>
      </c>
      <c r="F4291" s="14" t="s">
        <v>265</v>
      </c>
      <c r="G4291" s="115">
        <v>1220</v>
      </c>
      <c r="H4291" s="115">
        <v>2202</v>
      </c>
      <c r="I4291" s="108"/>
      <c r="J4291" s="109">
        <v>0.97701149425287359</v>
      </c>
      <c r="K4291" s="109">
        <v>0.921875</v>
      </c>
      <c r="L4291" s="159"/>
      <c r="M4291" s="109"/>
      <c r="N4291" s="109"/>
    </row>
    <row r="4292" spans="1:14" s="106" customFormat="1">
      <c r="A4292" s="106" t="s">
        <v>157</v>
      </c>
      <c r="B4292" s="14" t="s">
        <v>78</v>
      </c>
      <c r="C4292" s="14" t="s">
        <v>3</v>
      </c>
      <c r="D4292" s="14">
        <v>2018</v>
      </c>
      <c r="E4292" s="14">
        <v>2018</v>
      </c>
      <c r="F4292" s="14" t="s">
        <v>265</v>
      </c>
      <c r="G4292" s="115">
        <v>120061</v>
      </c>
      <c r="H4292" s="115">
        <v>263086</v>
      </c>
      <c r="I4292" s="108"/>
      <c r="J4292" s="109">
        <v>0.99038461538461542</v>
      </c>
      <c r="K4292" s="109">
        <v>0.90085312427945585</v>
      </c>
      <c r="L4292" s="159"/>
      <c r="M4292" s="109"/>
      <c r="N4292" s="109"/>
    </row>
    <row r="4293" spans="1:14" s="106" customFormat="1">
      <c r="A4293" s="106" t="s">
        <v>158</v>
      </c>
      <c r="B4293" s="14" t="s">
        <v>77</v>
      </c>
      <c r="C4293" s="14" t="s">
        <v>3</v>
      </c>
      <c r="D4293" s="14">
        <v>2018</v>
      </c>
      <c r="E4293" s="14">
        <v>2018</v>
      </c>
      <c r="F4293" s="14" t="s">
        <v>265</v>
      </c>
      <c r="G4293" s="115">
        <v>96362</v>
      </c>
      <c r="H4293" s="115">
        <v>200821</v>
      </c>
      <c r="I4293" s="108"/>
      <c r="J4293" s="109">
        <v>0.99390243902439024</v>
      </c>
      <c r="K4293" s="109">
        <v>0.90947148090005236</v>
      </c>
      <c r="L4293" s="159"/>
      <c r="M4293" s="109"/>
      <c r="N4293" s="109"/>
    </row>
    <row r="4294" spans="1:14" s="106" customFormat="1">
      <c r="A4294" s="106" t="s">
        <v>159</v>
      </c>
      <c r="B4294" s="14" t="s">
        <v>78</v>
      </c>
      <c r="C4294" s="14" t="s">
        <v>3</v>
      </c>
      <c r="D4294" s="14">
        <v>2018</v>
      </c>
      <c r="E4294" s="14">
        <v>2018</v>
      </c>
      <c r="F4294" s="14" t="s">
        <v>265</v>
      </c>
      <c r="G4294" s="115">
        <v>2127</v>
      </c>
      <c r="H4294" s="115">
        <v>4659</v>
      </c>
      <c r="I4294" s="108"/>
      <c r="J4294" s="109">
        <v>0.94308943089430897</v>
      </c>
      <c r="K4294" s="109">
        <v>0.9</v>
      </c>
      <c r="L4294" s="159"/>
      <c r="M4294" s="109"/>
      <c r="N4294" s="109"/>
    </row>
    <row r="4295" spans="1:14" s="106" customFormat="1">
      <c r="A4295" s="106" t="s">
        <v>160</v>
      </c>
      <c r="B4295" s="14" t="s">
        <v>78</v>
      </c>
      <c r="C4295" s="14" t="s">
        <v>3</v>
      </c>
      <c r="D4295" s="14">
        <v>2018</v>
      </c>
      <c r="E4295" s="14">
        <v>2018</v>
      </c>
      <c r="F4295" s="14" t="s">
        <v>265</v>
      </c>
      <c r="G4295" s="115">
        <v>161011</v>
      </c>
      <c r="H4295" s="115">
        <v>348552</v>
      </c>
      <c r="I4295" s="108"/>
      <c r="J4295" s="109">
        <v>0.98870588235294121</v>
      </c>
      <c r="K4295" s="109">
        <v>0.88744372186093046</v>
      </c>
      <c r="L4295" s="159"/>
      <c r="M4295" s="109"/>
      <c r="N4295" s="109"/>
    </row>
    <row r="4296" spans="1:14" s="106" customFormat="1">
      <c r="A4296" s="106" t="s">
        <v>161</v>
      </c>
      <c r="B4296" s="14" t="s">
        <v>77</v>
      </c>
      <c r="C4296" s="14" t="s">
        <v>3</v>
      </c>
      <c r="D4296" s="14">
        <v>2018</v>
      </c>
      <c r="E4296" s="14">
        <v>2018</v>
      </c>
      <c r="F4296" s="14" t="s">
        <v>265</v>
      </c>
      <c r="G4296" s="115">
        <v>132859</v>
      </c>
      <c r="H4296" s="115">
        <v>262987</v>
      </c>
      <c r="I4296" s="108"/>
      <c r="J4296" s="109">
        <v>0.97724550898203588</v>
      </c>
      <c r="K4296" s="109">
        <v>0.96171874999999996</v>
      </c>
      <c r="L4296" s="159"/>
      <c r="M4296" s="109"/>
      <c r="N4296" s="109"/>
    </row>
    <row r="4297" spans="1:14" s="106" customFormat="1">
      <c r="A4297" s="106" t="s">
        <v>162</v>
      </c>
      <c r="B4297" s="14" t="s">
        <v>77</v>
      </c>
      <c r="C4297" s="14" t="s">
        <v>3</v>
      </c>
      <c r="D4297" s="14">
        <v>2018</v>
      </c>
      <c r="E4297" s="14">
        <v>2018</v>
      </c>
      <c r="F4297" s="14" t="s">
        <v>265</v>
      </c>
      <c r="G4297" s="115">
        <v>33498</v>
      </c>
      <c r="H4297" s="115">
        <v>49803</v>
      </c>
      <c r="I4297" s="108"/>
      <c r="J4297" s="109">
        <v>0.97081306462821404</v>
      </c>
      <c r="K4297" s="109">
        <v>0.66864784546805345</v>
      </c>
      <c r="L4297" s="159"/>
      <c r="M4297" s="109"/>
      <c r="N4297" s="109"/>
    </row>
    <row r="4298" spans="1:14" s="106" customFormat="1">
      <c r="A4298" s="106" t="s">
        <v>163</v>
      </c>
      <c r="B4298" s="14" t="s">
        <v>78</v>
      </c>
      <c r="C4298" s="14" t="s">
        <v>3</v>
      </c>
      <c r="D4298" s="14">
        <v>2018</v>
      </c>
      <c r="E4298" s="14">
        <v>2018</v>
      </c>
      <c r="F4298" s="14" t="s">
        <v>265</v>
      </c>
      <c r="G4298" s="115">
        <v>46664</v>
      </c>
      <c r="H4298" s="115">
        <v>102602</v>
      </c>
      <c r="I4298" s="108"/>
      <c r="J4298" s="109">
        <v>0.98107714701601167</v>
      </c>
      <c r="K4298" s="109">
        <v>0.90444930707512761</v>
      </c>
      <c r="L4298" s="159"/>
      <c r="M4298" s="109"/>
      <c r="N4298" s="109"/>
    </row>
    <row r="4299" spans="1:14" s="106" customFormat="1">
      <c r="A4299" s="106" t="s">
        <v>164</v>
      </c>
      <c r="B4299" s="14" t="s">
        <v>77</v>
      </c>
      <c r="C4299" s="14" t="s">
        <v>3</v>
      </c>
      <c r="D4299" s="14">
        <v>2018</v>
      </c>
      <c r="E4299" s="14">
        <v>2018</v>
      </c>
      <c r="F4299" s="14" t="s">
        <v>265</v>
      </c>
      <c r="G4299" s="115">
        <v>9469</v>
      </c>
      <c r="H4299" s="115">
        <v>16415</v>
      </c>
      <c r="I4299" s="108"/>
      <c r="J4299" s="109">
        <v>0.96008869179600886</v>
      </c>
      <c r="K4299" s="109">
        <v>0.95406360424028269</v>
      </c>
      <c r="L4299" s="159"/>
      <c r="M4299" s="109"/>
      <c r="N4299" s="109"/>
    </row>
    <row r="4300" spans="1:14" s="106" customFormat="1">
      <c r="A4300" s="106" t="s">
        <v>165</v>
      </c>
      <c r="B4300" s="14" t="s">
        <v>77</v>
      </c>
      <c r="C4300" s="14" t="s">
        <v>3</v>
      </c>
      <c r="D4300" s="14">
        <v>2018</v>
      </c>
      <c r="E4300" s="14">
        <v>2018</v>
      </c>
      <c r="F4300" s="14" t="s">
        <v>265</v>
      </c>
      <c r="G4300" s="115">
        <v>13072</v>
      </c>
      <c r="H4300" s="115">
        <v>24923</v>
      </c>
      <c r="I4300" s="108"/>
      <c r="J4300" s="109">
        <v>0.97588126159554733</v>
      </c>
      <c r="K4300" s="109">
        <v>0.9353932584269663</v>
      </c>
      <c r="L4300" s="159"/>
      <c r="M4300" s="109"/>
      <c r="N4300" s="109"/>
    </row>
    <row r="4301" spans="1:14" s="106" customFormat="1">
      <c r="A4301" s="106" t="s">
        <v>166</v>
      </c>
      <c r="B4301" s="14" t="s">
        <v>77</v>
      </c>
      <c r="C4301" s="14" t="s">
        <v>3</v>
      </c>
      <c r="D4301" s="14">
        <v>2018</v>
      </c>
      <c r="E4301" s="14">
        <v>2018</v>
      </c>
      <c r="F4301" s="14" t="s">
        <v>265</v>
      </c>
      <c r="G4301" s="115">
        <v>19890</v>
      </c>
      <c r="H4301" s="115">
        <v>39123</v>
      </c>
      <c r="I4301" s="108"/>
      <c r="J4301" s="109">
        <v>0.81601731601731609</v>
      </c>
      <c r="K4301" s="109">
        <v>0.89189189189189189</v>
      </c>
      <c r="L4301" s="159"/>
      <c r="M4301" s="109"/>
      <c r="N4301" s="109"/>
    </row>
    <row r="4302" spans="1:14" s="106" customFormat="1">
      <c r="A4302" s="106" t="s">
        <v>167</v>
      </c>
      <c r="B4302" s="14" t="s">
        <v>77</v>
      </c>
      <c r="C4302" s="14" t="s">
        <v>3</v>
      </c>
      <c r="D4302" s="14">
        <v>2018</v>
      </c>
      <c r="E4302" s="14">
        <v>2018</v>
      </c>
      <c r="F4302" s="14" t="s">
        <v>265</v>
      </c>
      <c r="G4302" s="115">
        <v>45365</v>
      </c>
      <c r="H4302" s="115">
        <v>87007</v>
      </c>
      <c r="I4302" s="108"/>
      <c r="J4302" s="109">
        <v>0.99261538461538457</v>
      </c>
      <c r="K4302" s="109">
        <v>0.97373358348968109</v>
      </c>
      <c r="L4302" s="159"/>
      <c r="M4302" s="109"/>
      <c r="N4302" s="109"/>
    </row>
    <row r="4303" spans="1:14" s="106" customFormat="1">
      <c r="A4303" s="106" t="s">
        <v>168</v>
      </c>
      <c r="B4303" s="14" t="s">
        <v>77</v>
      </c>
      <c r="C4303" s="14" t="s">
        <v>3</v>
      </c>
      <c r="D4303" s="14">
        <v>2018</v>
      </c>
      <c r="E4303" s="14">
        <v>2018</v>
      </c>
      <c r="F4303" s="14" t="s">
        <v>265</v>
      </c>
      <c r="G4303" s="115">
        <v>14583</v>
      </c>
      <c r="H4303" s="115">
        <v>26016</v>
      </c>
      <c r="I4303" s="108"/>
      <c r="J4303" s="109">
        <v>0.96562032884902838</v>
      </c>
      <c r="K4303" s="109">
        <v>0.96539792387543255</v>
      </c>
      <c r="L4303" s="159"/>
      <c r="M4303" s="109"/>
      <c r="N4303" s="109"/>
    </row>
    <row r="4304" spans="1:14" s="106" customFormat="1">
      <c r="A4304" s="106" t="s">
        <v>169</v>
      </c>
      <c r="B4304" s="14" t="s">
        <v>78</v>
      </c>
      <c r="C4304" s="14" t="s">
        <v>3</v>
      </c>
      <c r="D4304" s="14">
        <v>2018</v>
      </c>
      <c r="E4304" s="14">
        <v>2018</v>
      </c>
      <c r="F4304" s="14" t="s">
        <v>265</v>
      </c>
      <c r="G4304" s="115">
        <v>12367</v>
      </c>
      <c r="H4304" s="115">
        <v>23062</v>
      </c>
      <c r="I4304" s="108"/>
      <c r="J4304" s="109">
        <v>0.93834586466165415</v>
      </c>
      <c r="K4304" s="109">
        <v>0.95029821073558651</v>
      </c>
      <c r="L4304" s="159"/>
      <c r="M4304" s="109"/>
      <c r="N4304" s="109"/>
    </row>
    <row r="4305" spans="1:14" s="106" customFormat="1">
      <c r="A4305" s="106" t="s">
        <v>170</v>
      </c>
      <c r="B4305" s="14" t="s">
        <v>78</v>
      </c>
      <c r="C4305" s="14" t="s">
        <v>3</v>
      </c>
      <c r="D4305" s="14">
        <v>2018</v>
      </c>
      <c r="E4305" s="14">
        <v>2018</v>
      </c>
      <c r="F4305" s="14" t="s">
        <v>265</v>
      </c>
      <c r="G4305" s="115">
        <v>153</v>
      </c>
      <c r="H4305" s="115">
        <v>259</v>
      </c>
      <c r="I4305" s="108"/>
      <c r="J4305" s="109">
        <v>1</v>
      </c>
      <c r="K4305" s="109">
        <v>1</v>
      </c>
      <c r="L4305" s="159"/>
      <c r="M4305" s="109"/>
      <c r="N4305" s="109"/>
    </row>
    <row r="4306" spans="1:14" s="106" customFormat="1">
      <c r="A4306" s="106" t="s">
        <v>171</v>
      </c>
      <c r="B4306" s="14" t="s">
        <v>78</v>
      </c>
      <c r="C4306" s="14" t="s">
        <v>3</v>
      </c>
      <c r="D4306" s="14">
        <v>2018</v>
      </c>
      <c r="E4306" s="14">
        <v>2018</v>
      </c>
      <c r="F4306" s="14" t="s">
        <v>265</v>
      </c>
      <c r="G4306" s="115">
        <v>3127</v>
      </c>
      <c r="H4306" s="115">
        <v>6419</v>
      </c>
      <c r="I4306" s="108"/>
      <c r="J4306" s="109">
        <v>0.93121693121693117</v>
      </c>
      <c r="K4306" s="109">
        <v>0.88524590163934425</v>
      </c>
      <c r="L4306" s="159"/>
      <c r="M4306" s="109"/>
      <c r="N4306" s="109"/>
    </row>
    <row r="4307" spans="1:14" s="106" customFormat="1">
      <c r="A4307" s="106" t="s">
        <v>172</v>
      </c>
      <c r="B4307" s="14" t="s">
        <v>77</v>
      </c>
      <c r="C4307" s="14" t="s">
        <v>3</v>
      </c>
      <c r="D4307" s="14">
        <v>2018</v>
      </c>
      <c r="E4307" s="14">
        <v>2018</v>
      </c>
      <c r="F4307" s="14" t="s">
        <v>265</v>
      </c>
      <c r="G4307" s="115">
        <v>20761</v>
      </c>
      <c r="H4307" s="115">
        <v>38145</v>
      </c>
      <c r="I4307" s="108"/>
      <c r="J4307" s="109">
        <v>0.9719626168224299</v>
      </c>
      <c r="K4307" s="109">
        <v>0.95833333333333337</v>
      </c>
      <c r="L4307" s="159"/>
      <c r="M4307" s="109"/>
      <c r="N4307" s="109"/>
    </row>
    <row r="4308" spans="1:14" s="106" customFormat="1">
      <c r="A4308" s="106" t="s">
        <v>173</v>
      </c>
      <c r="B4308" s="14" t="s">
        <v>77</v>
      </c>
      <c r="C4308" s="14" t="s">
        <v>3</v>
      </c>
      <c r="D4308" s="14">
        <v>2018</v>
      </c>
      <c r="E4308" s="14">
        <v>2018</v>
      </c>
      <c r="F4308" s="14" t="s">
        <v>265</v>
      </c>
      <c r="G4308" s="115">
        <v>16778</v>
      </c>
      <c r="H4308" s="115">
        <v>29264</v>
      </c>
      <c r="I4308" s="108"/>
      <c r="J4308" s="109">
        <v>0.9401408450704225</v>
      </c>
      <c r="K4308" s="109">
        <v>0.5461538461538461</v>
      </c>
      <c r="L4308" s="159"/>
      <c r="M4308" s="109"/>
      <c r="N4308" s="109"/>
    </row>
    <row r="4309" spans="1:14" s="106" customFormat="1">
      <c r="A4309" s="106" t="s">
        <v>174</v>
      </c>
      <c r="B4309" s="14" t="s">
        <v>78</v>
      </c>
      <c r="C4309" s="14" t="s">
        <v>3</v>
      </c>
      <c r="D4309" s="14">
        <v>2018</v>
      </c>
      <c r="E4309" s="14">
        <v>2018</v>
      </c>
      <c r="F4309" s="14" t="s">
        <v>265</v>
      </c>
      <c r="G4309" s="115">
        <v>38318</v>
      </c>
      <c r="H4309" s="115">
        <v>80036</v>
      </c>
      <c r="I4309" s="108"/>
      <c r="J4309" s="109">
        <v>0.97318007662835249</v>
      </c>
      <c r="K4309" s="109">
        <v>0.9395562356541699</v>
      </c>
      <c r="L4309" s="159"/>
      <c r="M4309" s="109"/>
      <c r="N4309" s="109"/>
    </row>
    <row r="4310" spans="1:14" s="106" customFormat="1">
      <c r="A4310" s="106" t="s">
        <v>175</v>
      </c>
      <c r="B4310" s="14" t="s">
        <v>78</v>
      </c>
      <c r="C4310" s="14" t="s">
        <v>3</v>
      </c>
      <c r="D4310" s="14">
        <v>2018</v>
      </c>
      <c r="E4310" s="14">
        <v>2018</v>
      </c>
      <c r="F4310" s="14" t="s">
        <v>265</v>
      </c>
      <c r="G4310" s="115">
        <v>5374</v>
      </c>
      <c r="H4310" s="115">
        <v>12262</v>
      </c>
      <c r="I4310" s="108"/>
      <c r="J4310" s="109">
        <v>0.98207885304659504</v>
      </c>
      <c r="K4310" s="109">
        <v>0.94690265486725667</v>
      </c>
      <c r="L4310" s="159"/>
      <c r="M4310" s="109"/>
      <c r="N4310" s="109"/>
    </row>
    <row r="4311" spans="1:14" s="106" customFormat="1">
      <c r="A4311" s="106" t="s">
        <v>176</v>
      </c>
      <c r="B4311" s="14" t="s">
        <v>78</v>
      </c>
      <c r="C4311" s="14" t="s">
        <v>3</v>
      </c>
      <c r="D4311" s="14">
        <v>2018</v>
      </c>
      <c r="E4311" s="14">
        <v>2018</v>
      </c>
      <c r="F4311" s="14" t="s">
        <v>265</v>
      </c>
      <c r="G4311" s="115">
        <v>4184</v>
      </c>
      <c r="H4311" s="115">
        <v>8982</v>
      </c>
      <c r="I4311" s="108"/>
      <c r="J4311" s="109">
        <v>0.92405063291139244</v>
      </c>
      <c r="K4311" s="109">
        <v>0.94565217391304346</v>
      </c>
      <c r="L4311" s="159"/>
      <c r="M4311" s="109"/>
      <c r="N4311" s="109"/>
    </row>
    <row r="4312" spans="1:14" s="106" customFormat="1">
      <c r="A4312" s="106" t="s">
        <v>177</v>
      </c>
      <c r="B4312" s="14" t="s">
        <v>78</v>
      </c>
      <c r="C4312" s="14" t="s">
        <v>3</v>
      </c>
      <c r="D4312" s="14">
        <v>2018</v>
      </c>
      <c r="E4312" s="14">
        <v>2018</v>
      </c>
      <c r="F4312" s="14" t="s">
        <v>265</v>
      </c>
      <c r="G4312" s="115">
        <v>990</v>
      </c>
      <c r="H4312" s="115">
        <v>1673</v>
      </c>
      <c r="I4312" s="108"/>
      <c r="J4312" s="109">
        <v>0.9137931034482758</v>
      </c>
      <c r="K4312" s="109">
        <v>0.86</v>
      </c>
      <c r="L4312" s="159"/>
      <c r="M4312" s="109"/>
      <c r="N4312" s="109"/>
    </row>
    <row r="4313" spans="1:14" s="106" customFormat="1">
      <c r="A4313" s="106" t="s">
        <v>178</v>
      </c>
      <c r="B4313" s="14" t="s">
        <v>77</v>
      </c>
      <c r="C4313" s="14" t="s">
        <v>3</v>
      </c>
      <c r="D4313" s="14">
        <v>2018</v>
      </c>
      <c r="E4313" s="14">
        <v>2018</v>
      </c>
      <c r="F4313" s="14" t="s">
        <v>265</v>
      </c>
      <c r="G4313" s="115">
        <v>51376</v>
      </c>
      <c r="H4313" s="115">
        <v>117240</v>
      </c>
      <c r="I4313" s="108"/>
      <c r="J4313" s="109">
        <v>0.98858146684233639</v>
      </c>
      <c r="K4313" s="109">
        <v>0.78510028653295127</v>
      </c>
      <c r="L4313" s="159"/>
      <c r="M4313" s="109"/>
      <c r="N4313" s="109"/>
    </row>
    <row r="4314" spans="1:14" s="106" customFormat="1">
      <c r="A4314" s="106" t="s">
        <v>179</v>
      </c>
      <c r="B4314" s="14" t="s">
        <v>78</v>
      </c>
      <c r="C4314" s="14" t="s">
        <v>3</v>
      </c>
      <c r="D4314" s="14">
        <v>2018</v>
      </c>
      <c r="E4314" s="14">
        <v>2018</v>
      </c>
      <c r="F4314" s="14" t="s">
        <v>265</v>
      </c>
      <c r="G4314" s="115">
        <v>2679</v>
      </c>
      <c r="H4314" s="115">
        <v>4702</v>
      </c>
      <c r="I4314" s="108"/>
      <c r="J4314" s="109">
        <v>0.97315436241610742</v>
      </c>
      <c r="K4314" s="109">
        <v>0.9553571428571429</v>
      </c>
      <c r="L4314" s="159"/>
      <c r="M4314" s="109"/>
      <c r="N4314" s="109"/>
    </row>
    <row r="4315" spans="1:14" s="106" customFormat="1">
      <c r="A4315" s="106" t="s">
        <v>180</v>
      </c>
      <c r="B4315" s="14" t="s">
        <v>77</v>
      </c>
      <c r="C4315" s="14" t="s">
        <v>3</v>
      </c>
      <c r="D4315" s="14">
        <v>2018</v>
      </c>
      <c r="E4315" s="14">
        <v>2018</v>
      </c>
      <c r="F4315" s="14" t="s">
        <v>265</v>
      </c>
      <c r="G4315" s="115">
        <v>34548</v>
      </c>
      <c r="H4315" s="115">
        <v>67471</v>
      </c>
      <c r="I4315" s="108"/>
      <c r="J4315" s="109">
        <v>0.98361650485436891</v>
      </c>
      <c r="K4315" s="109">
        <v>0.97121535181236673</v>
      </c>
      <c r="L4315" s="159"/>
      <c r="M4315" s="109"/>
      <c r="N4315" s="109"/>
    </row>
    <row r="4316" spans="1:14" s="106" customFormat="1">
      <c r="A4316" s="106" t="s">
        <v>181</v>
      </c>
      <c r="B4316" s="14" t="s">
        <v>77</v>
      </c>
      <c r="C4316" s="14" t="s">
        <v>3</v>
      </c>
      <c r="D4316" s="14">
        <v>2018</v>
      </c>
      <c r="E4316" s="14">
        <v>2018</v>
      </c>
      <c r="F4316" s="14" t="s">
        <v>265</v>
      </c>
      <c r="G4316" s="115">
        <v>10145</v>
      </c>
      <c r="H4316" s="115">
        <v>18544</v>
      </c>
      <c r="I4316" s="108"/>
      <c r="J4316" s="109">
        <v>0.85263157894736841</v>
      </c>
      <c r="K4316" s="109">
        <v>0.90821256038647347</v>
      </c>
      <c r="L4316" s="159"/>
      <c r="M4316" s="109"/>
      <c r="N4316" s="109"/>
    </row>
    <row r="4317" spans="1:14">
      <c r="A4317" s="106" t="s">
        <v>182</v>
      </c>
      <c r="B4317" s="14" t="s">
        <v>78</v>
      </c>
      <c r="C4317" s="14" t="s">
        <v>3</v>
      </c>
      <c r="D4317" s="14">
        <v>2018</v>
      </c>
      <c r="E4317" s="14">
        <v>2018</v>
      </c>
      <c r="F4317" s="14" t="s">
        <v>265</v>
      </c>
      <c r="G4317" s="112">
        <v>6053</v>
      </c>
      <c r="H4317" s="115">
        <v>12884</v>
      </c>
      <c r="I4317" s="108"/>
      <c r="J4317" s="109">
        <v>0.98774509803921573</v>
      </c>
      <c r="K4317" s="109">
        <v>0.97222222222222221</v>
      </c>
      <c r="L4317" s="159"/>
      <c r="M4317" s="109"/>
      <c r="N4317" s="109"/>
    </row>
    <row r="4318" spans="1:14" s="106" customFormat="1">
      <c r="A4318" s="56" t="s">
        <v>183</v>
      </c>
      <c r="B4318" s="14" t="s">
        <v>66</v>
      </c>
      <c r="C4318" s="14" t="s">
        <v>433</v>
      </c>
      <c r="D4318" s="14">
        <v>2018</v>
      </c>
      <c r="E4318" s="14">
        <v>2018</v>
      </c>
      <c r="F4318" s="14" t="s">
        <v>265</v>
      </c>
      <c r="G4318" s="175">
        <v>1959612</v>
      </c>
      <c r="H4318" s="175">
        <v>4008084</v>
      </c>
      <c r="I4318" s="175"/>
      <c r="J4318" s="176">
        <v>0.98094222022572852</v>
      </c>
      <c r="K4318" s="176">
        <v>0.90998728960443709</v>
      </c>
      <c r="L4318" s="158"/>
      <c r="M4318" s="30"/>
      <c r="N4318" s="176"/>
    </row>
    <row r="4319" spans="1:14" s="106" customFormat="1">
      <c r="A4319" s="56" t="s">
        <v>184</v>
      </c>
      <c r="B4319" s="14" t="s">
        <v>77</v>
      </c>
      <c r="C4319" s="14" t="s">
        <v>433</v>
      </c>
      <c r="D4319" s="14">
        <v>2018</v>
      </c>
      <c r="E4319" s="14">
        <v>2018</v>
      </c>
      <c r="F4319" s="14" t="s">
        <v>265</v>
      </c>
      <c r="G4319" s="175">
        <v>55019</v>
      </c>
      <c r="H4319" s="175">
        <v>103106</v>
      </c>
      <c r="I4319" s="175"/>
      <c r="J4319" s="176">
        <v>0.98415374241402565</v>
      </c>
      <c r="K4319" s="176">
        <v>0.970873786407767</v>
      </c>
      <c r="L4319" s="158"/>
      <c r="M4319" s="30"/>
      <c r="N4319" s="176"/>
    </row>
    <row r="4320" spans="1:14" s="106" customFormat="1">
      <c r="A4320" s="56" t="s">
        <v>185</v>
      </c>
      <c r="B4320" s="14" t="s">
        <v>78</v>
      </c>
      <c r="C4320" s="14" t="s">
        <v>433</v>
      </c>
      <c r="D4320" s="14">
        <v>2018</v>
      </c>
      <c r="E4320" s="14">
        <v>2018</v>
      </c>
      <c r="F4320" s="14" t="s">
        <v>265</v>
      </c>
      <c r="G4320" s="175">
        <v>79</v>
      </c>
      <c r="H4320" s="175">
        <v>141</v>
      </c>
      <c r="I4320" s="175"/>
      <c r="J4320" s="176">
        <v>1</v>
      </c>
      <c r="K4320" s="176">
        <v>0.66666666666666663</v>
      </c>
      <c r="L4320" s="158"/>
      <c r="M4320" s="30"/>
      <c r="N4320" s="176"/>
    </row>
    <row r="4321" spans="1:14" s="106" customFormat="1">
      <c r="A4321" s="56" t="s">
        <v>186</v>
      </c>
      <c r="B4321" s="14" t="s">
        <v>78</v>
      </c>
      <c r="C4321" s="14" t="s">
        <v>433</v>
      </c>
      <c r="D4321" s="14">
        <v>2018</v>
      </c>
      <c r="E4321" s="14">
        <v>2018</v>
      </c>
      <c r="F4321" s="14" t="s">
        <v>265</v>
      </c>
      <c r="G4321" s="175">
        <v>1571</v>
      </c>
      <c r="H4321" s="175">
        <v>2838</v>
      </c>
      <c r="I4321" s="175"/>
      <c r="J4321" s="176">
        <v>0.98648648648648651</v>
      </c>
      <c r="K4321" s="176">
        <v>0.97959183673469385</v>
      </c>
      <c r="L4321" s="158"/>
      <c r="M4321" s="30"/>
      <c r="N4321" s="176"/>
    </row>
    <row r="4322" spans="1:14">
      <c r="A4322" s="56" t="s">
        <v>187</v>
      </c>
      <c r="B4322" s="14" t="s">
        <v>78</v>
      </c>
      <c r="C4322" s="14" t="s">
        <v>433</v>
      </c>
      <c r="D4322" s="14">
        <v>2018</v>
      </c>
      <c r="E4322" s="14">
        <v>2018</v>
      </c>
      <c r="F4322" s="14" t="s">
        <v>265</v>
      </c>
      <c r="G4322" s="175">
        <v>16903</v>
      </c>
      <c r="H4322" s="175">
        <v>30858</v>
      </c>
      <c r="I4322" s="175"/>
      <c r="J4322" s="176">
        <v>0.89900249376558605</v>
      </c>
      <c r="K4322" s="176">
        <v>0.97044334975369462</v>
      </c>
      <c r="L4322" s="158"/>
      <c r="M4322" s="30"/>
      <c r="N4322" s="176"/>
    </row>
    <row r="4323" spans="1:14">
      <c r="A4323" s="56" t="s">
        <v>188</v>
      </c>
      <c r="B4323" s="14" t="s">
        <v>78</v>
      </c>
      <c r="C4323" s="14" t="s">
        <v>433</v>
      </c>
      <c r="D4323" s="14">
        <v>2018</v>
      </c>
      <c r="E4323" s="14">
        <v>2018</v>
      </c>
      <c r="F4323" s="14" t="s">
        <v>265</v>
      </c>
      <c r="G4323" s="175">
        <v>2732</v>
      </c>
      <c r="H4323" s="175">
        <v>4961</v>
      </c>
      <c r="I4323" s="175"/>
      <c r="J4323" s="176">
        <v>0.97560975609756095</v>
      </c>
      <c r="K4323" s="176">
        <v>0.97333333333333338</v>
      </c>
      <c r="L4323" s="158"/>
      <c r="M4323" s="30"/>
      <c r="N4323" s="176"/>
    </row>
    <row r="4324" spans="1:14">
      <c r="A4324" s="56" t="s">
        <v>189</v>
      </c>
      <c r="B4324" s="14" t="s">
        <v>78</v>
      </c>
      <c r="C4324" s="14" t="s">
        <v>433</v>
      </c>
      <c r="D4324" s="14">
        <v>2018</v>
      </c>
      <c r="E4324" s="14">
        <v>2018</v>
      </c>
      <c r="F4324" s="14" t="s">
        <v>265</v>
      </c>
      <c r="G4324" s="175">
        <v>672</v>
      </c>
      <c r="H4324" s="175">
        <v>1475</v>
      </c>
      <c r="I4324" s="175"/>
      <c r="J4324" s="176">
        <v>0.94117647058823528</v>
      </c>
      <c r="K4324" s="176">
        <v>0.80952380952380953</v>
      </c>
      <c r="L4324" s="158"/>
      <c r="M4324" s="30"/>
      <c r="N4324" s="176"/>
    </row>
    <row r="4325" spans="1:14">
      <c r="A4325" s="56" t="s">
        <v>190</v>
      </c>
      <c r="B4325" s="14" t="s">
        <v>77</v>
      </c>
      <c r="C4325" s="14" t="s">
        <v>433</v>
      </c>
      <c r="D4325" s="14">
        <v>2018</v>
      </c>
      <c r="E4325" s="14">
        <v>2018</v>
      </c>
      <c r="F4325" s="14" t="s">
        <v>265</v>
      </c>
      <c r="G4325" s="175">
        <v>30879</v>
      </c>
      <c r="H4325" s="175">
        <v>61557</v>
      </c>
      <c r="I4325" s="175"/>
      <c r="J4325" s="176">
        <v>0.97599164926931103</v>
      </c>
      <c r="K4325" s="176">
        <v>0.97228144989339016</v>
      </c>
      <c r="L4325" s="158"/>
      <c r="M4325" s="30"/>
      <c r="N4325" s="176"/>
    </row>
    <row r="4326" spans="1:14">
      <c r="A4326" s="56" t="s">
        <v>191</v>
      </c>
      <c r="B4326" s="14" t="s">
        <v>78</v>
      </c>
      <c r="C4326" s="14" t="s">
        <v>433</v>
      </c>
      <c r="D4326" s="14">
        <v>2018</v>
      </c>
      <c r="E4326" s="14">
        <v>2018</v>
      </c>
      <c r="F4326" s="14" t="s">
        <v>265</v>
      </c>
      <c r="G4326" s="175">
        <v>2571</v>
      </c>
      <c r="H4326" s="175">
        <v>5134</v>
      </c>
      <c r="I4326" s="175"/>
      <c r="J4326" s="176">
        <v>1</v>
      </c>
      <c r="K4326" s="176">
        <v>0.91578947368421049</v>
      </c>
      <c r="L4326" s="158"/>
      <c r="M4326" s="30"/>
      <c r="N4326" s="176"/>
    </row>
    <row r="4327" spans="1:14">
      <c r="A4327" s="56" t="s">
        <v>192</v>
      </c>
      <c r="B4327" s="14" t="s">
        <v>78</v>
      </c>
      <c r="C4327" s="14" t="s">
        <v>433</v>
      </c>
      <c r="D4327" s="14">
        <v>2018</v>
      </c>
      <c r="E4327" s="14">
        <v>2018</v>
      </c>
      <c r="F4327" s="14" t="s">
        <v>265</v>
      </c>
      <c r="G4327" s="175">
        <v>6459</v>
      </c>
      <c r="H4327" s="175">
        <v>11192</v>
      </c>
      <c r="I4327" s="175"/>
      <c r="J4327" s="176">
        <v>0.97435897435897434</v>
      </c>
      <c r="K4327" s="176">
        <v>1</v>
      </c>
      <c r="L4327" s="158"/>
      <c r="M4327" s="30"/>
      <c r="N4327" s="176"/>
    </row>
    <row r="4328" spans="1:14">
      <c r="A4328" s="106" t="s">
        <v>134</v>
      </c>
      <c r="B4328" s="14" t="s">
        <v>77</v>
      </c>
      <c r="C4328" s="14" t="s">
        <v>433</v>
      </c>
      <c r="D4328" s="14">
        <v>2018</v>
      </c>
      <c r="E4328" s="14">
        <v>2018</v>
      </c>
      <c r="F4328" s="14" t="s">
        <v>265</v>
      </c>
      <c r="G4328" s="175">
        <v>89727</v>
      </c>
      <c r="H4328" s="175">
        <v>205940</v>
      </c>
      <c r="I4328" s="175"/>
      <c r="J4328" s="176">
        <v>0.93538913362701903</v>
      </c>
      <c r="K4328" s="176">
        <v>0.64233576642335766</v>
      </c>
      <c r="L4328" s="158"/>
      <c r="M4328" s="30"/>
      <c r="N4328" s="176"/>
    </row>
    <row r="4329" spans="1:14">
      <c r="A4329" s="106" t="s">
        <v>135</v>
      </c>
      <c r="B4329" s="14" t="s">
        <v>78</v>
      </c>
      <c r="C4329" s="14" t="s">
        <v>433</v>
      </c>
      <c r="D4329" s="14">
        <v>2018</v>
      </c>
      <c r="E4329" s="14">
        <v>2018</v>
      </c>
      <c r="F4329" s="14" t="s">
        <v>265</v>
      </c>
      <c r="G4329" s="175">
        <v>1487</v>
      </c>
      <c r="H4329" s="175">
        <v>3411</v>
      </c>
      <c r="I4329" s="175"/>
      <c r="J4329" s="176">
        <v>0.98550724637681164</v>
      </c>
      <c r="K4329" s="176">
        <v>0.95121951219512191</v>
      </c>
      <c r="L4329" s="158"/>
      <c r="M4329" s="30"/>
      <c r="N4329" s="176"/>
    </row>
    <row r="4330" spans="1:14">
      <c r="A4330" s="106" t="s">
        <v>136</v>
      </c>
      <c r="B4330" s="14" t="s">
        <v>78</v>
      </c>
      <c r="C4330" s="14" t="s">
        <v>433</v>
      </c>
      <c r="D4330" s="14">
        <v>2018</v>
      </c>
      <c r="E4330" s="14">
        <v>2018</v>
      </c>
      <c r="F4330" s="14" t="s">
        <v>265</v>
      </c>
      <c r="G4330" s="175">
        <v>11801</v>
      </c>
      <c r="H4330" s="175">
        <v>19743</v>
      </c>
      <c r="I4330" s="175"/>
      <c r="J4330" s="176">
        <v>0.9765625</v>
      </c>
      <c r="K4330" s="176">
        <v>0.9703504043126685</v>
      </c>
      <c r="L4330" s="158"/>
      <c r="M4330" s="30"/>
      <c r="N4330" s="176"/>
    </row>
    <row r="4331" spans="1:14">
      <c r="A4331" s="106" t="s">
        <v>137</v>
      </c>
      <c r="B4331" s="14" t="s">
        <v>78</v>
      </c>
      <c r="C4331" s="14" t="s">
        <v>433</v>
      </c>
      <c r="D4331" s="14">
        <v>2018</v>
      </c>
      <c r="E4331" s="14">
        <v>2018</v>
      </c>
      <c r="F4331" s="14" t="s">
        <v>265</v>
      </c>
      <c r="G4331" s="175">
        <v>16932</v>
      </c>
      <c r="H4331" s="175">
        <v>40404</v>
      </c>
      <c r="I4331" s="175"/>
      <c r="J4331" s="176">
        <v>0.99039999999999995</v>
      </c>
      <c r="K4331" s="176">
        <v>0.92225201072386054</v>
      </c>
      <c r="L4331" s="158"/>
      <c r="M4331" s="30"/>
      <c r="N4331" s="176"/>
    </row>
    <row r="4332" spans="1:14">
      <c r="A4332" s="106" t="s">
        <v>138</v>
      </c>
      <c r="B4332" s="14" t="s">
        <v>78</v>
      </c>
      <c r="C4332" s="14" t="s">
        <v>433</v>
      </c>
      <c r="D4332" s="14">
        <v>2018</v>
      </c>
      <c r="E4332" s="14">
        <v>2018</v>
      </c>
      <c r="F4332" s="14" t="s">
        <v>265</v>
      </c>
      <c r="G4332" s="175">
        <v>1042</v>
      </c>
      <c r="H4332" s="175">
        <v>1996</v>
      </c>
      <c r="I4332" s="175"/>
      <c r="J4332" s="176">
        <v>1</v>
      </c>
      <c r="K4332" s="176">
        <v>0.94444444444444442</v>
      </c>
      <c r="L4332" s="158"/>
      <c r="M4332" s="30"/>
      <c r="N4332" s="176"/>
    </row>
    <row r="4333" spans="1:14">
      <c r="A4333" s="106" t="s">
        <v>139</v>
      </c>
      <c r="B4333" s="14" t="s">
        <v>78</v>
      </c>
      <c r="C4333" s="14" t="s">
        <v>433</v>
      </c>
      <c r="D4333" s="14">
        <v>2018</v>
      </c>
      <c r="E4333" s="14">
        <v>2018</v>
      </c>
      <c r="F4333" s="14" t="s">
        <v>265</v>
      </c>
      <c r="G4333" s="175">
        <v>67900</v>
      </c>
      <c r="H4333" s="175">
        <v>156899</v>
      </c>
      <c r="I4333" s="175"/>
      <c r="J4333" s="176">
        <v>0.98148148148148151</v>
      </c>
      <c r="K4333" s="176">
        <v>0.92317939609236233</v>
      </c>
      <c r="L4333" s="158"/>
      <c r="M4333" s="30"/>
      <c r="N4333" s="176"/>
    </row>
    <row r="4334" spans="1:14">
      <c r="A4334" s="106" t="s">
        <v>140</v>
      </c>
      <c r="B4334" s="14" t="s">
        <v>78</v>
      </c>
      <c r="C4334" s="14" t="s">
        <v>433</v>
      </c>
      <c r="D4334" s="14">
        <v>2018</v>
      </c>
      <c r="E4334" s="14">
        <v>2018</v>
      </c>
      <c r="F4334" s="14" t="s">
        <v>265</v>
      </c>
      <c r="G4334" s="175">
        <v>10635</v>
      </c>
      <c r="H4334" s="175">
        <v>23910</v>
      </c>
      <c r="I4334" s="175"/>
      <c r="J4334" s="176">
        <v>1</v>
      </c>
      <c r="K4334" s="176">
        <v>0.96242774566473988</v>
      </c>
      <c r="L4334" s="158"/>
      <c r="M4334" s="30"/>
      <c r="N4334" s="176"/>
    </row>
    <row r="4335" spans="1:14">
      <c r="A4335" s="106" t="s">
        <v>141</v>
      </c>
      <c r="B4335" s="14" t="s">
        <v>78</v>
      </c>
      <c r="C4335" s="14" t="s">
        <v>433</v>
      </c>
      <c r="D4335" s="14">
        <v>2018</v>
      </c>
      <c r="E4335" s="14">
        <v>2018</v>
      </c>
      <c r="F4335" s="14" t="s">
        <v>265</v>
      </c>
      <c r="G4335" s="175">
        <v>6303</v>
      </c>
      <c r="H4335" s="175">
        <v>11576</v>
      </c>
      <c r="I4335" s="175"/>
      <c r="J4335" s="176">
        <v>0.94776119402985071</v>
      </c>
      <c r="K4335" s="176">
        <v>0.91443850267379678</v>
      </c>
      <c r="L4335" s="158"/>
      <c r="M4335" s="30"/>
      <c r="N4335" s="176"/>
    </row>
    <row r="4336" spans="1:14">
      <c r="A4336" s="106" t="s">
        <v>142</v>
      </c>
      <c r="B4336" s="14" t="s">
        <v>78</v>
      </c>
      <c r="C4336" s="14" t="s">
        <v>433</v>
      </c>
      <c r="D4336" s="14">
        <v>2018</v>
      </c>
      <c r="E4336" s="14">
        <v>2018</v>
      </c>
      <c r="F4336" s="14" t="s">
        <v>265</v>
      </c>
      <c r="G4336" s="175">
        <v>1521</v>
      </c>
      <c r="H4336" s="175">
        <v>3025</v>
      </c>
      <c r="I4336" s="175"/>
      <c r="J4336" s="176">
        <v>0.94871794871794868</v>
      </c>
      <c r="K4336" s="176">
        <v>0.76271186440677963</v>
      </c>
      <c r="L4336" s="158"/>
      <c r="M4336" s="30"/>
      <c r="N4336" s="176"/>
    </row>
    <row r="4337" spans="1:14">
      <c r="A4337" s="106" t="s">
        <v>143</v>
      </c>
      <c r="B4337" s="14" t="s">
        <v>79</v>
      </c>
      <c r="C4337" s="14" t="s">
        <v>433</v>
      </c>
      <c r="D4337" s="14">
        <v>2018</v>
      </c>
      <c r="E4337" s="14">
        <v>2018</v>
      </c>
      <c r="F4337" s="14" t="s">
        <v>265</v>
      </c>
      <c r="G4337" s="175">
        <v>547867</v>
      </c>
      <c r="H4337" s="175">
        <v>1083101</v>
      </c>
      <c r="I4337" s="175"/>
      <c r="J4337" s="176">
        <v>0.99228791773778924</v>
      </c>
      <c r="K4337" s="176">
        <v>0.91552887424958829</v>
      </c>
      <c r="L4337" s="158"/>
      <c r="M4337" s="30"/>
      <c r="N4337" s="176"/>
    </row>
    <row r="4338" spans="1:14">
      <c r="A4338" s="106" t="s">
        <v>144</v>
      </c>
      <c r="B4338" s="14" t="s">
        <v>78</v>
      </c>
      <c r="C4338" s="14" t="s">
        <v>433</v>
      </c>
      <c r="D4338" s="14">
        <v>2018</v>
      </c>
      <c r="E4338" s="14">
        <v>2018</v>
      </c>
      <c r="F4338" s="14" t="s">
        <v>265</v>
      </c>
      <c r="G4338" s="175">
        <v>11348</v>
      </c>
      <c r="H4338" s="175">
        <v>27455</v>
      </c>
      <c r="I4338" s="175"/>
      <c r="J4338" s="176">
        <v>0.99214659685863871</v>
      </c>
      <c r="K4338" s="176">
        <v>0.98734177215189878</v>
      </c>
      <c r="L4338" s="158"/>
      <c r="M4338" s="30"/>
      <c r="N4338" s="176"/>
    </row>
    <row r="4339" spans="1:14">
      <c r="A4339" s="106" t="s">
        <v>145</v>
      </c>
      <c r="B4339" s="14" t="s">
        <v>78</v>
      </c>
      <c r="C4339" s="14" t="s">
        <v>433</v>
      </c>
      <c r="D4339" s="14">
        <v>2018</v>
      </c>
      <c r="E4339" s="14">
        <v>2018</v>
      </c>
      <c r="F4339" s="14" t="s">
        <v>265</v>
      </c>
      <c r="G4339" s="175">
        <v>5987</v>
      </c>
      <c r="H4339" s="175">
        <v>9836</v>
      </c>
      <c r="I4339" s="175"/>
      <c r="J4339" s="176">
        <v>0.98566308243727596</v>
      </c>
      <c r="K4339" s="176">
        <v>0.92655367231638419</v>
      </c>
      <c r="L4339" s="158"/>
      <c r="M4339" s="30"/>
      <c r="N4339" s="176"/>
    </row>
    <row r="4340" spans="1:14">
      <c r="A4340" s="106" t="s">
        <v>146</v>
      </c>
      <c r="B4340" s="14" t="s">
        <v>78</v>
      </c>
      <c r="C4340" s="14" t="s">
        <v>433</v>
      </c>
      <c r="D4340" s="14">
        <v>2018</v>
      </c>
      <c r="E4340" s="14">
        <v>2018</v>
      </c>
      <c r="F4340" s="14" t="s">
        <v>265</v>
      </c>
      <c r="G4340" s="175">
        <v>1041</v>
      </c>
      <c r="H4340" s="175">
        <v>1930</v>
      </c>
      <c r="I4340" s="175"/>
      <c r="J4340" s="176">
        <v>0.94444444444444442</v>
      </c>
      <c r="K4340" s="176">
        <v>0.96</v>
      </c>
      <c r="L4340" s="158"/>
      <c r="M4340" s="30"/>
      <c r="N4340" s="176"/>
    </row>
    <row r="4341" spans="1:14">
      <c r="A4341" s="106" t="s">
        <v>147</v>
      </c>
      <c r="B4341" s="14" t="s">
        <v>78</v>
      </c>
      <c r="C4341" s="14" t="s">
        <v>433</v>
      </c>
      <c r="D4341" s="14">
        <v>2018</v>
      </c>
      <c r="E4341" s="14">
        <v>2018</v>
      </c>
      <c r="F4341" s="14" t="s">
        <v>265</v>
      </c>
      <c r="G4341" s="175">
        <v>6170</v>
      </c>
      <c r="H4341" s="175">
        <v>11424</v>
      </c>
      <c r="I4341" s="175"/>
      <c r="J4341" s="176">
        <v>0.92328767123287669</v>
      </c>
      <c r="K4341" s="176">
        <v>0.90036900369003692</v>
      </c>
      <c r="L4341" s="158"/>
      <c r="M4341" s="30"/>
      <c r="N4341" s="176"/>
    </row>
    <row r="4342" spans="1:14">
      <c r="A4342" s="106" t="s">
        <v>148</v>
      </c>
      <c r="B4342" s="14" t="s">
        <v>78</v>
      </c>
      <c r="C4342" s="14" t="s">
        <v>433</v>
      </c>
      <c r="D4342" s="14">
        <v>2018</v>
      </c>
      <c r="E4342" s="14">
        <v>2018</v>
      </c>
      <c r="F4342" s="14" t="s">
        <v>265</v>
      </c>
      <c r="G4342" s="175">
        <v>22977</v>
      </c>
      <c r="H4342" s="175">
        <v>52829</v>
      </c>
      <c r="I4342" s="175"/>
      <c r="J4342" s="176">
        <v>0.98982188295165396</v>
      </c>
      <c r="K4342" s="176">
        <v>0.96969696969696972</v>
      </c>
      <c r="L4342" s="158"/>
      <c r="M4342" s="30"/>
      <c r="N4342" s="176"/>
    </row>
    <row r="4343" spans="1:14">
      <c r="A4343" s="106" t="s">
        <v>149</v>
      </c>
      <c r="B4343" s="14" t="s">
        <v>78</v>
      </c>
      <c r="C4343" s="14" t="s">
        <v>433</v>
      </c>
      <c r="D4343" s="14">
        <v>2018</v>
      </c>
      <c r="E4343" s="14">
        <v>2018</v>
      </c>
      <c r="F4343" s="14" t="s">
        <v>265</v>
      </c>
      <c r="G4343" s="175">
        <v>595</v>
      </c>
      <c r="H4343" s="175">
        <v>1224</v>
      </c>
      <c r="I4343" s="175"/>
      <c r="J4343" s="176">
        <v>1</v>
      </c>
      <c r="K4343" s="176">
        <v>0.94736842105263153</v>
      </c>
      <c r="L4343" s="158"/>
      <c r="M4343" s="30"/>
      <c r="N4343" s="176"/>
    </row>
    <row r="4344" spans="1:14">
      <c r="A4344" s="106" t="s">
        <v>150</v>
      </c>
      <c r="B4344" s="14" t="s">
        <v>78</v>
      </c>
      <c r="C4344" s="14" t="s">
        <v>433</v>
      </c>
      <c r="D4344" s="14">
        <v>2018</v>
      </c>
      <c r="E4344" s="14">
        <v>2018</v>
      </c>
      <c r="F4344" s="14" t="s">
        <v>265</v>
      </c>
      <c r="G4344" s="175">
        <v>403</v>
      </c>
      <c r="H4344" s="175">
        <v>698</v>
      </c>
      <c r="I4344" s="175"/>
      <c r="J4344" s="176">
        <v>1</v>
      </c>
      <c r="K4344" s="176">
        <v>0.94117647058823528</v>
      </c>
      <c r="L4344" s="158"/>
      <c r="M4344" s="30"/>
      <c r="N4344" s="176"/>
    </row>
    <row r="4345" spans="1:14">
      <c r="A4345" s="106" t="s">
        <v>151</v>
      </c>
      <c r="B4345" s="14" t="s">
        <v>78</v>
      </c>
      <c r="C4345" s="14" t="s">
        <v>433</v>
      </c>
      <c r="D4345" s="14">
        <v>2018</v>
      </c>
      <c r="E4345" s="14">
        <v>2018</v>
      </c>
      <c r="F4345" s="14" t="s">
        <v>265</v>
      </c>
      <c r="G4345" s="175">
        <v>21349</v>
      </c>
      <c r="H4345" s="175">
        <v>47635</v>
      </c>
      <c r="I4345" s="175"/>
      <c r="J4345" s="176">
        <v>0.99575911789652249</v>
      </c>
      <c r="K4345" s="176">
        <v>0.93610223642172519</v>
      </c>
      <c r="L4345" s="158"/>
      <c r="M4345" s="30"/>
      <c r="N4345" s="176"/>
    </row>
    <row r="4346" spans="1:14">
      <c r="A4346" s="106" t="s">
        <v>152</v>
      </c>
      <c r="B4346" s="14" t="s">
        <v>78</v>
      </c>
      <c r="C4346" s="14" t="s">
        <v>433</v>
      </c>
      <c r="D4346" s="14">
        <v>2018</v>
      </c>
      <c r="E4346" s="14">
        <v>2018</v>
      </c>
      <c r="F4346" s="14" t="s">
        <v>265</v>
      </c>
      <c r="G4346" s="175">
        <v>3052</v>
      </c>
      <c r="H4346" s="175">
        <v>6077</v>
      </c>
      <c r="I4346" s="175"/>
      <c r="J4346" s="176">
        <v>0.93865030674846628</v>
      </c>
      <c r="K4346" s="176">
        <v>0.89622641509433965</v>
      </c>
      <c r="L4346" s="158"/>
      <c r="M4346" s="30"/>
      <c r="N4346" s="176"/>
    </row>
    <row r="4347" spans="1:14">
      <c r="A4347" s="106" t="s">
        <v>153</v>
      </c>
      <c r="B4347" s="14" t="s">
        <v>78</v>
      </c>
      <c r="C4347" s="14" t="s">
        <v>433</v>
      </c>
      <c r="D4347" s="14">
        <v>2018</v>
      </c>
      <c r="E4347" s="14">
        <v>2018</v>
      </c>
      <c r="F4347" s="14" t="s">
        <v>265</v>
      </c>
      <c r="G4347" s="175">
        <v>3964</v>
      </c>
      <c r="H4347" s="175">
        <v>6748</v>
      </c>
      <c r="I4347" s="175"/>
      <c r="J4347" s="176">
        <v>0.77653631284916202</v>
      </c>
      <c r="K4347" s="176">
        <v>0.72916666666666663</v>
      </c>
      <c r="L4347" s="158"/>
      <c r="M4347" s="30"/>
      <c r="N4347" s="176"/>
    </row>
    <row r="4348" spans="1:14">
      <c r="A4348" s="106" t="s">
        <v>154</v>
      </c>
      <c r="B4348" s="14" t="s">
        <v>77</v>
      </c>
      <c r="C4348" s="14" t="s">
        <v>433</v>
      </c>
      <c r="D4348" s="14">
        <v>2018</v>
      </c>
      <c r="E4348" s="14">
        <v>2018</v>
      </c>
      <c r="F4348" s="14" t="s">
        <v>265</v>
      </c>
      <c r="G4348" s="175">
        <v>111321</v>
      </c>
      <c r="H4348" s="175">
        <v>224263</v>
      </c>
      <c r="I4348" s="175"/>
      <c r="J4348" s="176">
        <v>0.99197145405887599</v>
      </c>
      <c r="K4348" s="176">
        <v>0.99799196787148592</v>
      </c>
      <c r="L4348" s="158"/>
      <c r="M4348" s="30"/>
      <c r="N4348" s="176"/>
    </row>
    <row r="4349" spans="1:14">
      <c r="A4349" s="106" t="s">
        <v>155</v>
      </c>
      <c r="B4349" s="14" t="s">
        <v>77</v>
      </c>
      <c r="C4349" s="14" t="s">
        <v>433</v>
      </c>
      <c r="D4349" s="14">
        <v>2018</v>
      </c>
      <c r="E4349" s="14">
        <v>2018</v>
      </c>
      <c r="F4349" s="14" t="s">
        <v>265</v>
      </c>
      <c r="G4349" s="175">
        <v>8387</v>
      </c>
      <c r="H4349" s="175">
        <v>15593</v>
      </c>
      <c r="I4349" s="175"/>
      <c r="J4349" s="176">
        <v>1</v>
      </c>
      <c r="K4349" s="176">
        <v>0.8867924528301887</v>
      </c>
      <c r="L4349" s="158"/>
      <c r="M4349" s="30"/>
      <c r="N4349" s="176"/>
    </row>
    <row r="4350" spans="1:14">
      <c r="A4350" s="106" t="s">
        <v>156</v>
      </c>
      <c r="B4350" s="14" t="s">
        <v>78</v>
      </c>
      <c r="C4350" s="14" t="s">
        <v>433</v>
      </c>
      <c r="D4350" s="14">
        <v>2018</v>
      </c>
      <c r="E4350" s="14">
        <v>2018</v>
      </c>
      <c r="F4350" s="14" t="s">
        <v>265</v>
      </c>
      <c r="G4350" s="175">
        <v>1191</v>
      </c>
      <c r="H4350" s="175">
        <v>2189</v>
      </c>
      <c r="I4350" s="175"/>
      <c r="J4350" s="176">
        <v>0.984375</v>
      </c>
      <c r="K4350" s="176">
        <v>0.83783783783783783</v>
      </c>
      <c r="L4350" s="158"/>
      <c r="M4350" s="30"/>
      <c r="N4350" s="176"/>
    </row>
    <row r="4351" spans="1:14">
      <c r="A4351" s="106" t="s">
        <v>157</v>
      </c>
      <c r="B4351" s="14" t="s">
        <v>78</v>
      </c>
      <c r="C4351" s="14" t="s">
        <v>433</v>
      </c>
      <c r="D4351" s="14">
        <v>2018</v>
      </c>
      <c r="E4351" s="14">
        <v>2018</v>
      </c>
      <c r="F4351" s="14" t="s">
        <v>265</v>
      </c>
      <c r="G4351" s="175">
        <v>117728</v>
      </c>
      <c r="H4351" s="175">
        <v>258144</v>
      </c>
      <c r="I4351" s="175"/>
      <c r="J4351" s="176">
        <v>0.98698299391140043</v>
      </c>
      <c r="K4351" s="176">
        <v>0.89484240687679084</v>
      </c>
      <c r="L4351" s="158"/>
      <c r="M4351" s="30"/>
      <c r="N4351" s="176"/>
    </row>
    <row r="4352" spans="1:14">
      <c r="A4352" s="106" t="s">
        <v>158</v>
      </c>
      <c r="B4352" s="14" t="s">
        <v>77</v>
      </c>
      <c r="C4352" s="14" t="s">
        <v>433</v>
      </c>
      <c r="D4352" s="14">
        <v>2018</v>
      </c>
      <c r="E4352" s="14">
        <v>2018</v>
      </c>
      <c r="F4352" s="14" t="s">
        <v>265</v>
      </c>
      <c r="G4352" s="175">
        <v>94749</v>
      </c>
      <c r="H4352" s="175">
        <v>199442</v>
      </c>
      <c r="I4352" s="175"/>
      <c r="J4352" s="176">
        <v>0.99282678002125402</v>
      </c>
      <c r="K4352" s="176">
        <v>0.79260543038705955</v>
      </c>
      <c r="L4352" s="158"/>
      <c r="M4352" s="30"/>
      <c r="N4352" s="176"/>
    </row>
    <row r="4353" spans="1:14">
      <c r="A4353" s="106" t="s">
        <v>159</v>
      </c>
      <c r="B4353" s="14" t="s">
        <v>78</v>
      </c>
      <c r="C4353" s="14" t="s">
        <v>433</v>
      </c>
      <c r="D4353" s="14">
        <v>2018</v>
      </c>
      <c r="E4353" s="14">
        <v>2018</v>
      </c>
      <c r="F4353" s="14" t="s">
        <v>265</v>
      </c>
      <c r="G4353" s="175">
        <v>2126</v>
      </c>
      <c r="H4353" s="175">
        <v>4655</v>
      </c>
      <c r="I4353" s="175"/>
      <c r="J4353" s="176">
        <v>1</v>
      </c>
      <c r="K4353" s="176">
        <v>0.97014925373134331</v>
      </c>
      <c r="L4353" s="158"/>
      <c r="M4353" s="30"/>
      <c r="N4353" s="176"/>
    </row>
    <row r="4354" spans="1:14">
      <c r="A4354" s="106" t="s">
        <v>160</v>
      </c>
      <c r="B4354" s="14" t="s">
        <v>78</v>
      </c>
      <c r="C4354" s="14" t="s">
        <v>433</v>
      </c>
      <c r="D4354" s="14">
        <v>2018</v>
      </c>
      <c r="E4354" s="14">
        <v>2018</v>
      </c>
      <c r="F4354" s="14" t="s">
        <v>265</v>
      </c>
      <c r="G4354" s="175">
        <v>158956</v>
      </c>
      <c r="H4354" s="175">
        <v>344997</v>
      </c>
      <c r="I4354" s="175"/>
      <c r="J4354" s="176">
        <v>0.99007148530579825</v>
      </c>
      <c r="K4354" s="176">
        <v>0.92475014697236924</v>
      </c>
      <c r="L4354" s="158"/>
      <c r="M4354" s="30"/>
      <c r="N4354" s="176"/>
    </row>
    <row r="4355" spans="1:14">
      <c r="A4355" s="106" t="s">
        <v>161</v>
      </c>
      <c r="B4355" s="14" t="s">
        <v>77</v>
      </c>
      <c r="C4355" s="14" t="s">
        <v>433</v>
      </c>
      <c r="D4355" s="14">
        <v>2018</v>
      </c>
      <c r="E4355" s="14">
        <v>2018</v>
      </c>
      <c r="F4355" s="14" t="s">
        <v>265</v>
      </c>
      <c r="G4355" s="175">
        <v>131584</v>
      </c>
      <c r="H4355" s="175">
        <v>260795</v>
      </c>
      <c r="I4355" s="175"/>
      <c r="J4355" s="176">
        <v>0.97836266752785406</v>
      </c>
      <c r="K4355" s="176">
        <v>0.96685971685971683</v>
      </c>
      <c r="L4355" s="158"/>
      <c r="M4355" s="30"/>
      <c r="N4355" s="176"/>
    </row>
    <row r="4356" spans="1:14">
      <c r="A4356" s="106" t="s">
        <v>162</v>
      </c>
      <c r="B4356" s="14" t="s">
        <v>77</v>
      </c>
      <c r="C4356" s="14" t="s">
        <v>433</v>
      </c>
      <c r="D4356" s="14">
        <v>2018</v>
      </c>
      <c r="E4356" s="14">
        <v>2018</v>
      </c>
      <c r="F4356" s="14" t="s">
        <v>265</v>
      </c>
      <c r="G4356" s="175">
        <v>32822</v>
      </c>
      <c r="H4356" s="175">
        <v>49160</v>
      </c>
      <c r="I4356" s="175"/>
      <c r="J4356" s="176">
        <v>0.96145124716553287</v>
      </c>
      <c r="K4356" s="176">
        <v>0.62618595825426948</v>
      </c>
      <c r="L4356" s="158"/>
      <c r="M4356" s="30"/>
      <c r="N4356" s="176"/>
    </row>
    <row r="4357" spans="1:14">
      <c r="A4357" s="106" t="s">
        <v>163</v>
      </c>
      <c r="B4357" s="14" t="s">
        <v>78</v>
      </c>
      <c r="C4357" s="14" t="s">
        <v>433</v>
      </c>
      <c r="D4357" s="14">
        <v>2018</v>
      </c>
      <c r="E4357" s="14">
        <v>2018</v>
      </c>
      <c r="F4357" s="14" t="s">
        <v>265</v>
      </c>
      <c r="G4357" s="175">
        <v>46250</v>
      </c>
      <c r="H4357" s="175">
        <v>101739</v>
      </c>
      <c r="I4357" s="175"/>
      <c r="J4357" s="176">
        <v>0.97490452809601746</v>
      </c>
      <c r="K4357" s="176">
        <v>0.89606035205364631</v>
      </c>
      <c r="L4357" s="158"/>
      <c r="M4357" s="30"/>
      <c r="N4357" s="176"/>
    </row>
    <row r="4358" spans="1:14">
      <c r="A4358" s="106" t="s">
        <v>164</v>
      </c>
      <c r="B4358" s="14" t="s">
        <v>77</v>
      </c>
      <c r="C4358" s="14" t="s">
        <v>433</v>
      </c>
      <c r="D4358" s="14">
        <v>2018</v>
      </c>
      <c r="E4358" s="14">
        <v>2018</v>
      </c>
      <c r="F4358" s="14" t="s">
        <v>265</v>
      </c>
      <c r="G4358" s="175">
        <v>9358</v>
      </c>
      <c r="H4358" s="175">
        <v>16330</v>
      </c>
      <c r="I4358" s="175"/>
      <c r="J4358" s="176">
        <v>0.97698209718670082</v>
      </c>
      <c r="K4358" s="176">
        <v>0.9641255605381166</v>
      </c>
      <c r="L4358" s="158"/>
      <c r="M4358" s="30"/>
      <c r="N4358" s="176"/>
    </row>
    <row r="4359" spans="1:14">
      <c r="A4359" s="106" t="s">
        <v>165</v>
      </c>
      <c r="B4359" s="14" t="s">
        <v>77</v>
      </c>
      <c r="C4359" s="14" t="s">
        <v>433</v>
      </c>
      <c r="D4359" s="14">
        <v>2018</v>
      </c>
      <c r="E4359" s="14">
        <v>2018</v>
      </c>
      <c r="F4359" s="14" t="s">
        <v>265</v>
      </c>
      <c r="G4359" s="175">
        <v>12771</v>
      </c>
      <c r="H4359" s="175">
        <v>24271</v>
      </c>
      <c r="I4359" s="175"/>
      <c r="J4359" s="176">
        <v>0.99356223175965663</v>
      </c>
      <c r="K4359" s="176">
        <v>0.90169491525423728</v>
      </c>
      <c r="L4359" s="158"/>
      <c r="M4359" s="30"/>
      <c r="N4359" s="176"/>
    </row>
    <row r="4360" spans="1:14">
      <c r="A4360" s="106" t="s">
        <v>166</v>
      </c>
      <c r="B4360" s="14" t="s">
        <v>77</v>
      </c>
      <c r="C4360" s="14" t="s">
        <v>433</v>
      </c>
      <c r="D4360" s="14">
        <v>2018</v>
      </c>
      <c r="E4360" s="14">
        <v>2018</v>
      </c>
      <c r="F4360" s="14" t="s">
        <v>265</v>
      </c>
      <c r="G4360" s="175">
        <v>20269</v>
      </c>
      <c r="H4360" s="175">
        <v>39690</v>
      </c>
      <c r="I4360" s="175"/>
      <c r="J4360" s="176">
        <v>0.88064516129032255</v>
      </c>
      <c r="K4360" s="176">
        <v>0.88732394366197187</v>
      </c>
      <c r="L4360" s="158"/>
      <c r="M4360" s="30"/>
      <c r="N4360" s="176"/>
    </row>
    <row r="4361" spans="1:14">
      <c r="A4361" s="106" t="s">
        <v>167</v>
      </c>
      <c r="B4361" s="14" t="s">
        <v>77</v>
      </c>
      <c r="C4361" s="14" t="s">
        <v>433</v>
      </c>
      <c r="D4361" s="14">
        <v>2018</v>
      </c>
      <c r="E4361" s="14">
        <v>2018</v>
      </c>
      <c r="F4361" s="14" t="s">
        <v>265</v>
      </c>
      <c r="G4361" s="175">
        <v>44319</v>
      </c>
      <c r="H4361" s="175">
        <v>84952</v>
      </c>
      <c r="I4361" s="175"/>
      <c r="J4361" s="176">
        <v>0.99398395721925137</v>
      </c>
      <c r="K4361" s="176">
        <v>0.97040169133192389</v>
      </c>
      <c r="L4361" s="158"/>
      <c r="M4361" s="30"/>
      <c r="N4361" s="176"/>
    </row>
    <row r="4362" spans="1:14">
      <c r="A4362" s="106" t="s">
        <v>168</v>
      </c>
      <c r="B4362" s="14" t="s">
        <v>77</v>
      </c>
      <c r="C4362" s="14" t="s">
        <v>433</v>
      </c>
      <c r="D4362" s="14">
        <v>2018</v>
      </c>
      <c r="E4362" s="14">
        <v>2018</v>
      </c>
      <c r="F4362" s="14" t="s">
        <v>265</v>
      </c>
      <c r="G4362" s="175">
        <v>14771</v>
      </c>
      <c r="H4362" s="175">
        <v>26244</v>
      </c>
      <c r="I4362" s="175"/>
      <c r="J4362" s="176">
        <v>0.96768707482993199</v>
      </c>
      <c r="K4362" s="176">
        <v>0.99065420560747663</v>
      </c>
      <c r="L4362" s="158"/>
      <c r="M4362" s="30"/>
      <c r="N4362" s="176"/>
    </row>
    <row r="4363" spans="1:14">
      <c r="A4363" s="106" t="s">
        <v>169</v>
      </c>
      <c r="B4363" s="14" t="s">
        <v>78</v>
      </c>
      <c r="C4363" s="14" t="s">
        <v>433</v>
      </c>
      <c r="D4363" s="14">
        <v>2018</v>
      </c>
      <c r="E4363" s="14">
        <v>2018</v>
      </c>
      <c r="F4363" s="14" t="s">
        <v>265</v>
      </c>
      <c r="G4363" s="175">
        <v>12235</v>
      </c>
      <c r="H4363" s="175">
        <v>22870</v>
      </c>
      <c r="I4363" s="175"/>
      <c r="J4363" s="176">
        <v>0.9373848987108655</v>
      </c>
      <c r="K4363" s="176">
        <v>0.93398533007334961</v>
      </c>
      <c r="L4363" s="158"/>
      <c r="M4363" s="30"/>
      <c r="N4363" s="176"/>
    </row>
    <row r="4364" spans="1:14">
      <c r="A4364" s="106" t="s">
        <v>170</v>
      </c>
      <c r="B4364" s="14" t="s">
        <v>78</v>
      </c>
      <c r="C4364" s="14" t="s">
        <v>433</v>
      </c>
      <c r="D4364" s="14">
        <v>2018</v>
      </c>
      <c r="E4364" s="14">
        <v>2018</v>
      </c>
      <c r="F4364" s="14" t="s">
        <v>265</v>
      </c>
      <c r="G4364" s="175">
        <v>146</v>
      </c>
      <c r="H4364" s="175">
        <v>236</v>
      </c>
      <c r="I4364" s="175"/>
      <c r="J4364" s="176">
        <v>1</v>
      </c>
      <c r="K4364" s="176">
        <v>0.75</v>
      </c>
      <c r="L4364" s="158"/>
      <c r="M4364" s="30"/>
      <c r="N4364" s="176"/>
    </row>
    <row r="4365" spans="1:14">
      <c r="A4365" s="106" t="s">
        <v>171</v>
      </c>
      <c r="B4365" s="14" t="s">
        <v>78</v>
      </c>
      <c r="C4365" s="14" t="s">
        <v>433</v>
      </c>
      <c r="D4365" s="14">
        <v>2018</v>
      </c>
      <c r="E4365" s="14">
        <v>2018</v>
      </c>
      <c r="F4365" s="14" t="s">
        <v>265</v>
      </c>
      <c r="G4365" s="175">
        <v>3165</v>
      </c>
      <c r="H4365" s="175">
        <v>6506</v>
      </c>
      <c r="I4365" s="175"/>
      <c r="J4365" s="176">
        <v>0.9375</v>
      </c>
      <c r="K4365" s="176">
        <v>0.92920353982300885</v>
      </c>
      <c r="L4365" s="158"/>
      <c r="M4365" s="30"/>
      <c r="N4365" s="176"/>
    </row>
    <row r="4366" spans="1:14">
      <c r="A4366" s="106" t="s">
        <v>172</v>
      </c>
      <c r="B4366" s="14" t="s">
        <v>77</v>
      </c>
      <c r="C4366" s="14" t="s">
        <v>433</v>
      </c>
      <c r="D4366" s="14">
        <v>2018</v>
      </c>
      <c r="E4366" s="14">
        <v>2018</v>
      </c>
      <c r="F4366" s="14" t="s">
        <v>265</v>
      </c>
      <c r="G4366" s="175">
        <v>20387</v>
      </c>
      <c r="H4366" s="175">
        <v>37788</v>
      </c>
      <c r="I4366" s="175"/>
      <c r="J4366" s="176">
        <v>0.97880299251870329</v>
      </c>
      <c r="K4366" s="176">
        <v>0.96</v>
      </c>
      <c r="L4366" s="158"/>
      <c r="M4366" s="30"/>
      <c r="N4366" s="176"/>
    </row>
    <row r="4367" spans="1:14">
      <c r="A4367" s="106" t="s">
        <v>173</v>
      </c>
      <c r="B4367" s="14" t="s">
        <v>77</v>
      </c>
      <c r="C4367" s="14" t="s">
        <v>433</v>
      </c>
      <c r="D4367" s="14">
        <v>2018</v>
      </c>
      <c r="E4367" s="14">
        <v>2018</v>
      </c>
      <c r="F4367" s="14" t="s">
        <v>265</v>
      </c>
      <c r="G4367" s="175">
        <v>16488</v>
      </c>
      <c r="H4367" s="175">
        <v>28908</v>
      </c>
      <c r="I4367" s="175"/>
      <c r="J4367" s="176">
        <v>0.96502057613168724</v>
      </c>
      <c r="K4367" s="176">
        <v>0.48958333333333331</v>
      </c>
      <c r="L4367" s="158"/>
      <c r="M4367" s="30"/>
      <c r="N4367" s="176"/>
    </row>
    <row r="4368" spans="1:14">
      <c r="A4368" s="106" t="s">
        <v>174</v>
      </c>
      <c r="B4368" s="14" t="s">
        <v>78</v>
      </c>
      <c r="C4368" s="14" t="s">
        <v>433</v>
      </c>
      <c r="D4368" s="14">
        <v>2018</v>
      </c>
      <c r="E4368" s="14">
        <v>2018</v>
      </c>
      <c r="F4368" s="14" t="s">
        <v>265</v>
      </c>
      <c r="G4368" s="175">
        <v>37759</v>
      </c>
      <c r="H4368" s="175">
        <v>79077</v>
      </c>
      <c r="I4368" s="175"/>
      <c r="J4368" s="176">
        <v>0.97846332945285219</v>
      </c>
      <c r="K4368" s="176">
        <v>0.9303525365434222</v>
      </c>
      <c r="L4368" s="158"/>
      <c r="M4368" s="30"/>
      <c r="N4368" s="176"/>
    </row>
    <row r="4369" spans="1:14">
      <c r="A4369" s="106" t="s">
        <v>175</v>
      </c>
      <c r="B4369" s="14" t="s">
        <v>78</v>
      </c>
      <c r="C4369" s="14" t="s">
        <v>433</v>
      </c>
      <c r="D4369" s="14">
        <v>2018</v>
      </c>
      <c r="E4369" s="14">
        <v>2018</v>
      </c>
      <c r="F4369" s="14" t="s">
        <v>265</v>
      </c>
      <c r="G4369" s="175">
        <v>5348</v>
      </c>
      <c r="H4369" s="175">
        <v>12267</v>
      </c>
      <c r="I4369" s="175"/>
      <c r="J4369" s="176">
        <v>0.9946236559139785</v>
      </c>
      <c r="K4369" s="176">
        <v>0.96350364963503654</v>
      </c>
      <c r="L4369" s="158"/>
      <c r="M4369" s="30"/>
      <c r="N4369" s="176"/>
    </row>
    <row r="4370" spans="1:14">
      <c r="A4370" s="106" t="s">
        <v>176</v>
      </c>
      <c r="B4370" s="14" t="s">
        <v>78</v>
      </c>
      <c r="C4370" s="14" t="s">
        <v>433</v>
      </c>
      <c r="D4370" s="14">
        <v>2018</v>
      </c>
      <c r="E4370" s="14">
        <v>2018</v>
      </c>
      <c r="F4370" s="14" t="s">
        <v>265</v>
      </c>
      <c r="G4370" s="175">
        <v>4126</v>
      </c>
      <c r="H4370" s="175">
        <v>8944</v>
      </c>
      <c r="I4370" s="175"/>
      <c r="J4370" s="176">
        <v>0.87719298245614041</v>
      </c>
      <c r="K4370" s="176">
        <v>0.97247706422018354</v>
      </c>
      <c r="L4370" s="158"/>
      <c r="M4370" s="30"/>
      <c r="N4370" s="176"/>
    </row>
    <row r="4371" spans="1:14">
      <c r="A4371" s="106" t="s">
        <v>177</v>
      </c>
      <c r="B4371" s="14" t="s">
        <v>78</v>
      </c>
      <c r="C4371" s="14" t="s">
        <v>433</v>
      </c>
      <c r="D4371" s="14">
        <v>2018</v>
      </c>
      <c r="E4371" s="14">
        <v>2018</v>
      </c>
      <c r="F4371" s="14" t="s">
        <v>265</v>
      </c>
      <c r="G4371" s="175">
        <v>969</v>
      </c>
      <c r="H4371" s="175">
        <v>1655</v>
      </c>
      <c r="I4371" s="175"/>
      <c r="J4371" s="176">
        <v>1</v>
      </c>
      <c r="K4371" s="176">
        <v>0.87096774193548387</v>
      </c>
      <c r="L4371" s="158"/>
      <c r="M4371" s="30"/>
      <c r="N4371" s="176"/>
    </row>
    <row r="4372" spans="1:14">
      <c r="A4372" s="106" t="s">
        <v>178</v>
      </c>
      <c r="B4372" s="14" t="s">
        <v>77</v>
      </c>
      <c r="C4372" s="14" t="s">
        <v>433</v>
      </c>
      <c r="D4372" s="14">
        <v>2018</v>
      </c>
      <c r="E4372" s="14">
        <v>2018</v>
      </c>
      <c r="F4372" s="14" t="s">
        <v>265</v>
      </c>
      <c r="G4372" s="175">
        <v>50651</v>
      </c>
      <c r="H4372" s="175">
        <v>117219</v>
      </c>
      <c r="I4372" s="175"/>
      <c r="J4372" s="176">
        <v>0.99171597633136099</v>
      </c>
      <c r="K4372" s="176">
        <v>0.80288461538461542</v>
      </c>
      <c r="L4372" s="158"/>
      <c r="M4372" s="30"/>
      <c r="N4372" s="176"/>
    </row>
    <row r="4373" spans="1:14">
      <c r="A4373" s="106" t="s">
        <v>179</v>
      </c>
      <c r="B4373" s="14" t="s">
        <v>78</v>
      </c>
      <c r="C4373" s="14" t="s">
        <v>433</v>
      </c>
      <c r="D4373" s="14">
        <v>2018</v>
      </c>
      <c r="E4373" s="14">
        <v>2018</v>
      </c>
      <c r="F4373" s="14" t="s">
        <v>265</v>
      </c>
      <c r="G4373" s="175">
        <v>2661</v>
      </c>
      <c r="H4373" s="175">
        <v>4669</v>
      </c>
      <c r="I4373" s="175"/>
      <c r="J4373" s="176">
        <v>1</v>
      </c>
      <c r="K4373" s="176">
        <v>0.95238095238095233</v>
      </c>
      <c r="L4373" s="158"/>
      <c r="M4373" s="30"/>
      <c r="N4373" s="176"/>
    </row>
    <row r="4374" spans="1:14">
      <c r="A4374" s="106" t="s">
        <v>180</v>
      </c>
      <c r="B4374" s="14" t="s">
        <v>77</v>
      </c>
      <c r="C4374" s="14" t="s">
        <v>433</v>
      </c>
      <c r="D4374" s="14">
        <v>2018</v>
      </c>
      <c r="E4374" s="14">
        <v>2018</v>
      </c>
      <c r="F4374" s="14" t="s">
        <v>265</v>
      </c>
      <c r="G4374" s="175">
        <v>34044</v>
      </c>
      <c r="H4374" s="175">
        <v>67156</v>
      </c>
      <c r="I4374" s="175"/>
      <c r="J4374" s="176">
        <v>0.97786720321931586</v>
      </c>
      <c r="K4374" s="176">
        <v>0.95780590717299574</v>
      </c>
      <c r="L4374" s="158"/>
      <c r="M4374" s="30"/>
      <c r="N4374" s="176"/>
    </row>
    <row r="4375" spans="1:14">
      <c r="A4375" s="106" t="s">
        <v>181</v>
      </c>
      <c r="B4375" s="14" t="s">
        <v>77</v>
      </c>
      <c r="C4375" s="14" t="s">
        <v>433</v>
      </c>
      <c r="D4375" s="14">
        <v>2018</v>
      </c>
      <c r="E4375" s="14">
        <v>2018</v>
      </c>
      <c r="F4375" s="14" t="s">
        <v>265</v>
      </c>
      <c r="G4375" s="175">
        <v>10064</v>
      </c>
      <c r="H4375" s="175">
        <v>18382</v>
      </c>
      <c r="I4375" s="175"/>
      <c r="J4375" s="176">
        <v>0.83300198807157055</v>
      </c>
      <c r="K4375" s="176">
        <v>0.85606060606060608</v>
      </c>
      <c r="L4375" s="158"/>
      <c r="M4375" s="30"/>
      <c r="N4375" s="176"/>
    </row>
    <row r="4376" spans="1:14">
      <c r="A4376" s="106" t="s">
        <v>182</v>
      </c>
      <c r="B4376" s="14" t="s">
        <v>78</v>
      </c>
      <c r="C4376" s="14" t="s">
        <v>433</v>
      </c>
      <c r="D4376" s="14">
        <v>2018</v>
      </c>
      <c r="E4376" s="14">
        <v>2018</v>
      </c>
      <c r="F4376" s="14" t="s">
        <v>265</v>
      </c>
      <c r="G4376" s="175">
        <v>5981</v>
      </c>
      <c r="H4376" s="175">
        <v>12820</v>
      </c>
      <c r="I4376" s="175"/>
      <c r="J4376" s="176">
        <v>0.99270072992700731</v>
      </c>
      <c r="K4376" s="176">
        <v>0.95833333333333337</v>
      </c>
      <c r="L4376" s="158"/>
      <c r="M4376" s="30"/>
      <c r="N4376" s="176"/>
    </row>
  </sheetData>
  <sheetProtection algorithmName="SHA-512" hashValue="URpjJB59kbkzA2409AiezUegPUkOmMxCkxZy/Ee8i2ncXMrXGaB7Ckdtxw4jotY3XfK91FhBC+syJS23jzkKbQ==" saltValue="JIkkiwyw1sOaOvcEx5c7Ag=="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pane ySplit="10" topLeftCell="A11" activePane="bottomLeft" state="frozen"/>
      <selection pane="bottomLeft" activeCell="K19" sqref="K19"/>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89" t="s">
        <v>250</v>
      </c>
      <c r="B8" s="189"/>
      <c r="C8" s="189"/>
      <c r="D8" s="189"/>
      <c r="E8" s="189"/>
      <c r="F8" s="189"/>
      <c r="G8" s="84" t="s">
        <v>243</v>
      </c>
      <c r="H8" s="85" t="s">
        <v>243</v>
      </c>
      <c r="I8" s="84" t="s">
        <v>243</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c r="A1367" s="106" t="s">
        <v>182</v>
      </c>
      <c r="B1367" s="14" t="s">
        <v>78</v>
      </c>
      <c r="C1367" s="14" t="s">
        <v>64</v>
      </c>
      <c r="D1367" s="14">
        <v>2017</v>
      </c>
      <c r="E1367" s="14">
        <v>2017</v>
      </c>
      <c r="F1367" s="14">
        <v>2018</v>
      </c>
      <c r="G1367" s="30">
        <v>0.38651773822496671</v>
      </c>
      <c r="H1367" s="104">
        <v>12769</v>
      </c>
      <c r="I1367" s="30">
        <v>0.96282611974061227</v>
      </c>
    </row>
  </sheetData>
  <sheetProtection algorithmName="SHA-512" hashValue="CW3a6SXYa10o7gOc0X8DYqr6KN3SFUbuFFGmLowXTL3jAN5X+g8bL5IIFj5Qh0KkDfI6pZrLXh7tKjVbkaEYOQ==" saltValue="XGzKlPmUiNecxNljLvbQ/A=="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08"/>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89" t="s">
        <v>250</v>
      </c>
      <c r="B8" s="189"/>
      <c r="C8" s="189"/>
      <c r="D8" s="189"/>
      <c r="E8" s="189"/>
      <c r="F8" s="189"/>
      <c r="G8" s="67" t="s">
        <v>244</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v>2012</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v>2012</v>
      </c>
      <c r="G13" s="11">
        <v>1</v>
      </c>
      <c r="H13" s="11">
        <v>0</v>
      </c>
      <c r="I13" s="11">
        <v>0</v>
      </c>
      <c r="J13" s="11">
        <v>4.2999999999999997E-2</v>
      </c>
      <c r="K13" s="11">
        <v>4.2999999999999997E-2</v>
      </c>
    </row>
    <row r="14" spans="1:11">
      <c r="A14" s="56" t="s">
        <v>186</v>
      </c>
      <c r="B14" s="8" t="s">
        <v>78</v>
      </c>
      <c r="C14" s="14" t="s">
        <v>3</v>
      </c>
      <c r="D14" s="8">
        <v>2012</v>
      </c>
      <c r="E14" s="14">
        <v>2012</v>
      </c>
      <c r="F14" s="14">
        <v>2012</v>
      </c>
      <c r="G14" s="11">
        <v>0.9476</v>
      </c>
      <c r="H14" s="11">
        <v>3.5999999999999997E-2</v>
      </c>
      <c r="I14" s="11">
        <v>0.1</v>
      </c>
      <c r="J14" s="11">
        <v>0.16600000000000001</v>
      </c>
      <c r="K14" s="11">
        <v>0.19600000000000001</v>
      </c>
    </row>
    <row r="15" spans="1:11">
      <c r="A15" s="56" t="s">
        <v>187</v>
      </c>
      <c r="B15" s="8" t="s">
        <v>78</v>
      </c>
      <c r="C15" s="14" t="s">
        <v>3</v>
      </c>
      <c r="D15" s="8">
        <v>2012</v>
      </c>
      <c r="E15" s="14">
        <v>2012</v>
      </c>
      <c r="F15" s="14">
        <v>2012</v>
      </c>
      <c r="G15" s="11">
        <v>0.93589999999999995</v>
      </c>
      <c r="H15" s="11">
        <v>2.8000000000000001E-2</v>
      </c>
      <c r="I15" s="11">
        <v>0.11</v>
      </c>
      <c r="J15" s="11">
        <v>0.26</v>
      </c>
      <c r="K15" s="11">
        <v>0.28199999999999997</v>
      </c>
    </row>
    <row r="16" spans="1:11">
      <c r="A16" s="56" t="s">
        <v>188</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v>2012</v>
      </c>
      <c r="G18" s="11">
        <v>0.82089999999999996</v>
      </c>
      <c r="H18" s="11">
        <v>0.108</v>
      </c>
      <c r="I18" s="11">
        <v>0.186</v>
      </c>
      <c r="J18" s="11">
        <v>7.2999999999999995E-2</v>
      </c>
      <c r="K18" s="11">
        <v>0.106</v>
      </c>
    </row>
    <row r="19" spans="1:11">
      <c r="A19" s="56" t="s">
        <v>191</v>
      </c>
      <c r="B19" s="8" t="s">
        <v>78</v>
      </c>
      <c r="C19" s="14" t="s">
        <v>3</v>
      </c>
      <c r="D19" s="8">
        <v>2012</v>
      </c>
      <c r="E19" s="14">
        <v>2012</v>
      </c>
      <c r="F19" s="14">
        <v>2012</v>
      </c>
      <c r="G19" s="11">
        <v>0.97970000000000002</v>
      </c>
      <c r="H19" s="11">
        <v>3.9E-2</v>
      </c>
      <c r="I19" s="11">
        <v>0.13800000000000001</v>
      </c>
      <c r="J19" s="11">
        <v>0.21</v>
      </c>
      <c r="K19" s="11">
        <v>0.23200000000000001</v>
      </c>
    </row>
    <row r="20" spans="1:11">
      <c r="A20" s="56" t="s">
        <v>192</v>
      </c>
      <c r="B20" s="8" t="s">
        <v>78</v>
      </c>
      <c r="C20" s="14" t="s">
        <v>3</v>
      </c>
      <c r="D20" s="8">
        <v>2012</v>
      </c>
      <c r="E20" s="14">
        <v>2012</v>
      </c>
      <c r="F20" s="14">
        <v>2012</v>
      </c>
      <c r="G20" s="11">
        <v>0.93120000000000003</v>
      </c>
      <c r="H20" s="11">
        <v>2.4E-2</v>
      </c>
      <c r="I20" s="11">
        <v>0.12</v>
      </c>
      <c r="J20" s="11">
        <v>0.156</v>
      </c>
      <c r="K20" s="11">
        <v>0.17199999999999999</v>
      </c>
    </row>
    <row r="21" spans="1:11">
      <c r="A21" s="13" t="s">
        <v>134</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135</v>
      </c>
      <c r="B22" s="8" t="s">
        <v>78</v>
      </c>
      <c r="C22" s="14" t="s">
        <v>3</v>
      </c>
      <c r="D22" s="8">
        <v>2012</v>
      </c>
      <c r="E22" s="14">
        <v>2012</v>
      </c>
      <c r="F22" s="14">
        <v>2012</v>
      </c>
      <c r="G22" s="11">
        <v>1</v>
      </c>
      <c r="H22" s="11">
        <v>4.9000000000000002E-2</v>
      </c>
      <c r="I22" s="11">
        <v>0.125</v>
      </c>
      <c r="J22" s="11">
        <v>0.105</v>
      </c>
      <c r="K22" s="11">
        <v>0.113</v>
      </c>
    </row>
    <row r="23" spans="1:11">
      <c r="A23" s="13" t="s">
        <v>136</v>
      </c>
      <c r="B23" s="8" t="s">
        <v>78</v>
      </c>
      <c r="C23" s="14" t="s">
        <v>3</v>
      </c>
      <c r="D23" s="8">
        <v>2012</v>
      </c>
      <c r="E23" s="14">
        <v>2012</v>
      </c>
      <c r="F23" s="14">
        <v>2012</v>
      </c>
      <c r="G23" s="11">
        <v>0.8911</v>
      </c>
      <c r="H23" s="11">
        <v>2.5999999999999999E-2</v>
      </c>
      <c r="I23" s="11">
        <v>0.115</v>
      </c>
      <c r="J23" s="11">
        <v>0.184</v>
      </c>
      <c r="K23" s="11">
        <v>0.21199999999999999</v>
      </c>
    </row>
    <row r="24" spans="1:11">
      <c r="A24" s="13" t="s">
        <v>137</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v>2012</v>
      </c>
      <c r="G25" s="11">
        <v>1</v>
      </c>
      <c r="H25" s="11">
        <v>1.2E-2</v>
      </c>
      <c r="I25" s="11">
        <v>0.128</v>
      </c>
      <c r="J25" s="11">
        <v>0.113</v>
      </c>
      <c r="K25" s="11">
        <v>0.11899999999999999</v>
      </c>
    </row>
    <row r="26" spans="1:11">
      <c r="A26" s="13" t="s">
        <v>139</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v>2012</v>
      </c>
      <c r="G30" s="11">
        <v>0.92979999999999996</v>
      </c>
      <c r="H30" s="11">
        <v>0.122</v>
      </c>
      <c r="I30" s="11">
        <v>0.221</v>
      </c>
      <c r="J30" s="11">
        <v>0</v>
      </c>
      <c r="K30" s="11">
        <v>3.0000000000000001E-3</v>
      </c>
    </row>
    <row r="31" spans="1:11">
      <c r="A31" s="13" t="s">
        <v>144</v>
      </c>
      <c r="B31" s="8" t="s">
        <v>78</v>
      </c>
      <c r="C31" s="14" t="s">
        <v>3</v>
      </c>
      <c r="D31" s="8">
        <v>2012</v>
      </c>
      <c r="E31" s="14">
        <v>2012</v>
      </c>
      <c r="F31" s="14">
        <v>2012</v>
      </c>
      <c r="G31" s="11">
        <v>0.98009999999999997</v>
      </c>
      <c r="H31" s="11">
        <v>4.2000000000000003E-2</v>
      </c>
      <c r="I31" s="11">
        <v>0.158</v>
      </c>
      <c r="J31" s="11">
        <v>0.159</v>
      </c>
      <c r="K31" s="11">
        <v>0.186</v>
      </c>
    </row>
    <row r="32" spans="1:11">
      <c r="A32" s="13" t="s">
        <v>145</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147</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149</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v>2012</v>
      </c>
      <c r="G37" s="11">
        <v>0.92589999999999995</v>
      </c>
      <c r="H37" s="11">
        <v>2.9000000000000001E-2</v>
      </c>
      <c r="I37" s="11">
        <v>0.123</v>
      </c>
      <c r="J37" s="11">
        <v>0.01</v>
      </c>
      <c r="K37" s="11">
        <v>1.6E-2</v>
      </c>
    </row>
    <row r="38" spans="1:11">
      <c r="A38" s="13" t="s">
        <v>151</v>
      </c>
      <c r="B38" s="8" t="s">
        <v>78</v>
      </c>
      <c r="C38" s="14" t="s">
        <v>3</v>
      </c>
      <c r="D38" s="8">
        <v>2012</v>
      </c>
      <c r="E38" s="14">
        <v>2012</v>
      </c>
      <c r="F38" s="14">
        <v>2012</v>
      </c>
      <c r="G38" s="11">
        <v>0.99380000000000002</v>
      </c>
      <c r="H38" s="11">
        <v>2.3E-2</v>
      </c>
      <c r="I38" s="11">
        <v>0.104</v>
      </c>
      <c r="J38" s="11">
        <v>0.10199999999999999</v>
      </c>
      <c r="K38" s="11">
        <v>0.111</v>
      </c>
    </row>
    <row r="39" spans="1:11">
      <c r="A39" s="13" t="s">
        <v>152</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153</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154</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v>2012</v>
      </c>
      <c r="G49" s="11">
        <v>0.92100000000000004</v>
      </c>
      <c r="H49" s="11">
        <v>0.108</v>
      </c>
      <c r="I49" s="11">
        <v>0.20599999999999999</v>
      </c>
      <c r="J49" s="11">
        <v>6.2E-2</v>
      </c>
      <c r="K49" s="11">
        <v>9.4E-2</v>
      </c>
    </row>
    <row r="50" spans="1:11">
      <c r="A50" s="13" t="s">
        <v>163</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167</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v>2012</v>
      </c>
      <c r="G56" s="11">
        <v>0.9335</v>
      </c>
      <c r="H56" s="11">
        <v>2.5000000000000001E-2</v>
      </c>
      <c r="I56" s="11">
        <v>0.124</v>
      </c>
      <c r="J56" s="11">
        <v>0.161</v>
      </c>
      <c r="K56" s="11">
        <v>0.18</v>
      </c>
    </row>
    <row r="57" spans="1:11">
      <c r="A57" s="13" t="s">
        <v>170</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172</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v>2012</v>
      </c>
      <c r="G60" s="11">
        <v>0.4607</v>
      </c>
      <c r="H60" s="11">
        <v>0.106</v>
      </c>
      <c r="I60" s="11">
        <v>0.186</v>
      </c>
      <c r="J60" s="11">
        <v>2.9000000000000001E-2</v>
      </c>
      <c r="K60" s="11">
        <v>5.7000000000000002E-2</v>
      </c>
    </row>
    <row r="61" spans="1:11">
      <c r="A61" s="13" t="s">
        <v>174</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v>2012</v>
      </c>
      <c r="G62" s="11">
        <v>0.9607</v>
      </c>
      <c r="H62" s="11">
        <v>3.5000000000000003E-2</v>
      </c>
      <c r="I62" s="11">
        <v>0.123</v>
      </c>
      <c r="J62" s="11">
        <v>0.11</v>
      </c>
      <c r="K62" s="11">
        <v>0.121</v>
      </c>
    </row>
    <row r="63" spans="1:11">
      <c r="A63" s="13" t="s">
        <v>176</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v>2012</v>
      </c>
      <c r="G64" s="11">
        <v>0.9889</v>
      </c>
      <c r="H64" s="11">
        <v>4.8000000000000001E-2</v>
      </c>
      <c r="I64" s="11">
        <v>0.128</v>
      </c>
      <c r="J64" s="11">
        <v>0.159</v>
      </c>
      <c r="K64" s="11">
        <v>0.17899999999999999</v>
      </c>
    </row>
    <row r="65" spans="1:11">
      <c r="A65" s="13" t="s">
        <v>178</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179</v>
      </c>
      <c r="B66" s="8" t="s">
        <v>78</v>
      </c>
      <c r="C66" s="14" t="s">
        <v>3</v>
      </c>
      <c r="D66" s="8">
        <v>2012</v>
      </c>
      <c r="E66" s="14">
        <v>2012</v>
      </c>
      <c r="F66" s="14">
        <v>2012</v>
      </c>
      <c r="G66" s="11">
        <v>0.93710000000000004</v>
      </c>
      <c r="H66" s="11">
        <v>3.7999999999999999E-2</v>
      </c>
      <c r="I66" s="11">
        <v>0.151</v>
      </c>
      <c r="J66" s="11">
        <v>0.109</v>
      </c>
      <c r="K66" s="11">
        <v>0.123</v>
      </c>
    </row>
    <row r="67" spans="1:11">
      <c r="A67" s="13" t="s">
        <v>180</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v>2012</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v>2012</v>
      </c>
      <c r="G73" s="11">
        <v>0.86070000000000002</v>
      </c>
      <c r="H73" s="11">
        <v>2.9000000000000001E-2</v>
      </c>
      <c r="I73" s="11">
        <v>0.14199999999999999</v>
      </c>
      <c r="J73" s="11">
        <v>0.187</v>
      </c>
      <c r="K73" s="11">
        <v>0.2</v>
      </c>
    </row>
    <row r="74" spans="1:11">
      <c r="A74" s="56" t="s">
        <v>187</v>
      </c>
      <c r="B74" s="8" t="s">
        <v>78</v>
      </c>
      <c r="C74" s="14" t="s">
        <v>62</v>
      </c>
      <c r="D74" s="8">
        <v>2012</v>
      </c>
      <c r="E74" s="14">
        <v>2012</v>
      </c>
      <c r="F74" s="14">
        <v>2012</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v>2012</v>
      </c>
      <c r="G77" s="11">
        <v>0.8911</v>
      </c>
      <c r="H77" s="11">
        <v>0.11</v>
      </c>
      <c r="I77" s="11">
        <v>0.184</v>
      </c>
      <c r="J77" s="11">
        <v>3.9E-2</v>
      </c>
      <c r="K77" s="11">
        <v>6.6000000000000003E-2</v>
      </c>
    </row>
    <row r="78" spans="1:11">
      <c r="A78" s="56" t="s">
        <v>191</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v>2012</v>
      </c>
      <c r="G82" s="11">
        <v>0.9284</v>
      </c>
      <c r="H82" s="11">
        <v>0.03</v>
      </c>
      <c r="I82" s="11">
        <v>0.124</v>
      </c>
      <c r="J82" s="11">
        <v>0.20100000000000001</v>
      </c>
      <c r="K82" s="11">
        <v>0.22800000000000001</v>
      </c>
    </row>
    <row r="83" spans="1:11">
      <c r="A83" s="13" t="s">
        <v>137</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v>2012</v>
      </c>
      <c r="G91" s="11">
        <v>0.94010000000000005</v>
      </c>
      <c r="H91" s="11">
        <v>4.7E-2</v>
      </c>
      <c r="I91" s="11">
        <v>0.125</v>
      </c>
      <c r="J91" s="11">
        <v>0.113</v>
      </c>
      <c r="K91" s="11">
        <v>0.13500000000000001</v>
      </c>
    </row>
    <row r="92" spans="1:11">
      <c r="A92" s="13" t="s">
        <v>146</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v>2012</v>
      </c>
      <c r="G98" s="11">
        <v>0.98160000000000003</v>
      </c>
      <c r="H98" s="11">
        <v>2.7E-2</v>
      </c>
      <c r="I98" s="11">
        <v>8.2000000000000003E-2</v>
      </c>
      <c r="J98" s="11">
        <v>0.23</v>
      </c>
      <c r="K98" s="11">
        <v>0.245</v>
      </c>
    </row>
    <row r="99" spans="1:11">
      <c r="A99" s="13" t="s">
        <v>153</v>
      </c>
      <c r="B99" s="8" t="s">
        <v>78</v>
      </c>
      <c r="C99" s="14" t="s">
        <v>62</v>
      </c>
      <c r="D99" s="8">
        <v>2012</v>
      </c>
      <c r="E99" s="14">
        <v>2012</v>
      </c>
      <c r="F99" s="14">
        <v>2012</v>
      </c>
      <c r="G99" s="11">
        <v>0.9919</v>
      </c>
      <c r="H99" s="11">
        <v>3.5000000000000003E-2</v>
      </c>
      <c r="I99" s="11">
        <v>0.114</v>
      </c>
      <c r="J99" s="11">
        <v>0.112</v>
      </c>
      <c r="K99" s="11">
        <v>0.13100000000000001</v>
      </c>
    </row>
    <row r="100" spans="1:11">
      <c r="A100" s="13" t="s">
        <v>154</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164</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169</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175</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151</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152</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155</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158</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166</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155</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v>2017</v>
      </c>
      <c r="G1076" s="14"/>
      <c r="H1076" s="11">
        <v>0.1013</v>
      </c>
      <c r="I1076" s="11">
        <v>0.1696</v>
      </c>
      <c r="J1076" s="11">
        <v>0.2127</v>
      </c>
      <c r="K1076" s="11">
        <v>0.24809999999999999</v>
      </c>
    </row>
    <row r="1077" spans="1:11">
      <c r="A1077" s="56" t="s">
        <v>187</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v>2017</v>
      </c>
      <c r="G1126" s="14"/>
      <c r="H1126" s="11">
        <v>4.87E-2</v>
      </c>
      <c r="I1126" s="11">
        <v>0.1201</v>
      </c>
      <c r="J1126" s="11">
        <v>0.2273</v>
      </c>
      <c r="K1126" s="11">
        <v>0.25</v>
      </c>
    </row>
    <row r="1127" spans="1:11">
      <c r="A1127" s="13" t="s">
        <v>178</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v>2017</v>
      </c>
      <c r="G1128" s="14"/>
      <c r="H1128" s="11">
        <v>8.8699999999999987E-2</v>
      </c>
      <c r="I1128" s="11">
        <v>0.1787</v>
      </c>
      <c r="J1128" s="11">
        <v>0.18</v>
      </c>
      <c r="K1128" s="11">
        <v>0.2104</v>
      </c>
    </row>
    <row r="1129" spans="1:11">
      <c r="A1129" s="13" t="s">
        <v>180</v>
      </c>
      <c r="B1129" s="8" t="s">
        <v>77</v>
      </c>
      <c r="C1129" s="14" t="s">
        <v>64</v>
      </c>
      <c r="D1129" s="8">
        <v>2016</v>
      </c>
      <c r="E1129" s="14">
        <v>2016</v>
      </c>
      <c r="F1129" s="14">
        <v>2017</v>
      </c>
      <c r="G1129" s="14"/>
      <c r="H1129" s="11">
        <v>0.15390000000000001</v>
      </c>
      <c r="I1129" s="11">
        <v>0.2752</v>
      </c>
      <c r="J1129" s="11">
        <v>0.1211</v>
      </c>
      <c r="K1129" s="11">
        <v>0.1686</v>
      </c>
    </row>
    <row r="1130" spans="1:11">
      <c r="A1130" s="13" t="s">
        <v>181</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v>2017</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v>2017</v>
      </c>
      <c r="G1134" s="8"/>
      <c r="H1134" s="11">
        <v>0</v>
      </c>
      <c r="I1134" s="11">
        <v>6.25E-2</v>
      </c>
      <c r="J1134" s="11">
        <v>6.25E-2</v>
      </c>
      <c r="K1134" s="11">
        <v>0.125</v>
      </c>
    </row>
    <row r="1135" spans="1:11">
      <c r="A1135" s="56" t="s">
        <v>186</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v>2017</v>
      </c>
      <c r="G1136" s="8"/>
      <c r="H1136" s="11">
        <v>0.1583</v>
      </c>
      <c r="I1136" s="11">
        <v>0.25069999999999998</v>
      </c>
      <c r="J1136" s="11">
        <v>0.2462</v>
      </c>
      <c r="K1136" s="11">
        <v>0.2833</v>
      </c>
    </row>
    <row r="1137" spans="1:11">
      <c r="A1137" s="56" t="s">
        <v>188</v>
      </c>
      <c r="B1137" s="8" t="s">
        <v>78</v>
      </c>
      <c r="C1137" s="14" t="s">
        <v>65</v>
      </c>
      <c r="D1137" s="8">
        <v>2016</v>
      </c>
      <c r="E1137" s="14">
        <v>2017</v>
      </c>
      <c r="F1137" s="14">
        <v>2017</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v>2017</v>
      </c>
      <c r="G1178" s="8"/>
      <c r="H1178" s="11">
        <v>6.9000000000000006E-2</v>
      </c>
      <c r="I1178" s="11">
        <v>0.2069</v>
      </c>
      <c r="J1178" s="11">
        <v>0.1724</v>
      </c>
      <c r="K1178" s="11">
        <v>0.1724</v>
      </c>
    </row>
    <row r="1179" spans="1:11">
      <c r="A1179" s="13" t="s">
        <v>171</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v>2017</v>
      </c>
      <c r="G1191" s="11"/>
      <c r="H1191" s="11">
        <v>0.1426</v>
      </c>
      <c r="I1191" s="11">
        <v>0.25159999999999999</v>
      </c>
      <c r="J1191" s="11">
        <v>0.1038</v>
      </c>
      <c r="K1191" s="11">
        <v>0.1381</v>
      </c>
    </row>
    <row r="1192" spans="1:11">
      <c r="A1192" s="56" t="s">
        <v>184</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v>2017</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v>2017</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v>2017</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v>2017</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v>2017</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v>2017</v>
      </c>
      <c r="G1218" s="11"/>
      <c r="H1218" s="11">
        <v>0.12970000000000001</v>
      </c>
      <c r="I1218" s="11">
        <v>0.2407</v>
      </c>
      <c r="J1218" s="11">
        <v>0.1822</v>
      </c>
      <c r="K1218" s="11">
        <v>0.2064</v>
      </c>
    </row>
    <row r="1219" spans="1:11">
      <c r="A1219" s="98" t="s">
        <v>152</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v>2017</v>
      </c>
      <c r="G1227" s="11"/>
      <c r="H1227" s="11">
        <v>0.2311</v>
      </c>
      <c r="I1227" s="11">
        <v>0.3528</v>
      </c>
      <c r="J1227" s="11">
        <v>0.24129999999999999</v>
      </c>
      <c r="K1227" s="11">
        <v>0.2717</v>
      </c>
    </row>
    <row r="1228" spans="1:11">
      <c r="A1228" s="98" t="s">
        <v>161</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v>2017</v>
      </c>
      <c r="G1229" s="11"/>
      <c r="H1229" s="11">
        <v>0.1024</v>
      </c>
      <c r="I1229" s="11">
        <v>0.20679999999999998</v>
      </c>
      <c r="J1229" s="11">
        <v>0.08</v>
      </c>
      <c r="K1229" s="11">
        <v>0.1162</v>
      </c>
    </row>
    <row r="1230" spans="1:11">
      <c r="A1230" s="98" t="s">
        <v>163</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v>2017</v>
      </c>
      <c r="G1237" s="11"/>
      <c r="H1237" s="11">
        <v>0.04</v>
      </c>
      <c r="I1237" s="11">
        <v>0.08</v>
      </c>
      <c r="J1237" s="11">
        <v>0.16</v>
      </c>
      <c r="K1237" s="11">
        <v>0.16</v>
      </c>
    </row>
    <row r="1238" spans="1:11">
      <c r="A1238" s="98" t="s">
        <v>171</v>
      </c>
      <c r="B1238" s="14" t="s">
        <v>78</v>
      </c>
      <c r="C1238" s="14" t="s">
        <v>3</v>
      </c>
      <c r="D1238" s="14">
        <v>2017</v>
      </c>
      <c r="E1238" s="14">
        <v>2017</v>
      </c>
      <c r="F1238" s="14">
        <v>2017</v>
      </c>
      <c r="G1238" s="11"/>
      <c r="H1238" s="11">
        <v>0.1421</v>
      </c>
      <c r="I1238" s="11">
        <v>0.25</v>
      </c>
      <c r="J1238" s="11">
        <v>0.3115</v>
      </c>
      <c r="K1238" s="11">
        <v>0.34429999999999999</v>
      </c>
    </row>
    <row r="1239" spans="1:11">
      <c r="A1239" s="98" t="s">
        <v>172</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v>2017</v>
      </c>
      <c r="G1240" s="11"/>
      <c r="H1240" s="11">
        <v>0.1048</v>
      </c>
      <c r="I1240" s="11">
        <v>0.21859999999999999</v>
      </c>
      <c r="J1240" s="11">
        <v>5.79E-2</v>
      </c>
      <c r="K1240" s="11">
        <v>0.1012</v>
      </c>
    </row>
    <row r="1241" spans="1:11">
      <c r="A1241" s="98" t="s">
        <v>174</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v>2017</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v>2017</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v>2017</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v>2017</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v>2017</v>
      </c>
      <c r="G1252" s="14"/>
      <c r="H1252" s="11">
        <v>0</v>
      </c>
      <c r="I1252" s="11">
        <v>0.125</v>
      </c>
      <c r="J1252" s="11">
        <v>0</v>
      </c>
      <c r="K1252" s="11">
        <v>0</v>
      </c>
    </row>
    <row r="1253" spans="1:11">
      <c r="A1253" t="s">
        <v>186</v>
      </c>
      <c r="B1253" s="14" t="s">
        <v>78</v>
      </c>
      <c r="C1253" s="14" t="s">
        <v>62</v>
      </c>
      <c r="D1253" s="14">
        <v>2017</v>
      </c>
      <c r="E1253" s="14">
        <v>2017</v>
      </c>
      <c r="F1253" s="14">
        <v>2017</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v>2017</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v>2017</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v>2017</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v>2017</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v>2017</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v>2017</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v>2017</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v>2017</v>
      </c>
      <c r="G1261" s="14"/>
      <c r="H1261" s="11">
        <v>0.1351</v>
      </c>
      <c r="I1261" s="11">
        <v>0.22109999999999999</v>
      </c>
      <c r="J1261" s="11">
        <v>0.1351</v>
      </c>
      <c r="K1261" s="11">
        <v>0.1474</v>
      </c>
    </row>
    <row r="1262" spans="1:11">
      <c r="A1262" t="s">
        <v>136</v>
      </c>
      <c r="B1262" s="14" t="s">
        <v>78</v>
      </c>
      <c r="C1262" s="14" t="s">
        <v>62</v>
      </c>
      <c r="D1262" s="14">
        <v>2017</v>
      </c>
      <c r="E1262" s="14">
        <v>2017</v>
      </c>
      <c r="F1262" s="14">
        <v>2017</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v>2017</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v>2017</v>
      </c>
      <c r="G1264" s="14"/>
      <c r="H1264" s="11">
        <v>0.13</v>
      </c>
      <c r="I1264" s="11">
        <v>0.23319999999999999</v>
      </c>
      <c r="J1264" s="11">
        <v>0.3004</v>
      </c>
      <c r="K1264" s="11">
        <v>0.33630000000000004</v>
      </c>
    </row>
    <row r="1265" spans="1:11">
      <c r="A1265" t="s">
        <v>139</v>
      </c>
      <c r="B1265" s="14" t="s">
        <v>78</v>
      </c>
      <c r="C1265" s="14" t="s">
        <v>62</v>
      </c>
      <c r="D1265" s="14">
        <v>2017</v>
      </c>
      <c r="E1265" s="14">
        <v>2017</v>
      </c>
      <c r="F1265" s="14">
        <v>2017</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v>2017</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v>2017</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v>2017</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v>2017</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v>2017</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v>2017</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v>2017</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v>2017</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v>2017</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v>2017</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v>2017</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v>2017</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v>2017</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v>2017</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v>2017</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v>2017</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v>2017</v>
      </c>
      <c r="G1282" s="14"/>
      <c r="H1282" s="11">
        <v>4.8399999999999999E-2</v>
      </c>
      <c r="I1282" s="11">
        <v>0.1371</v>
      </c>
      <c r="J1282" s="11">
        <v>0.1331</v>
      </c>
      <c r="K1282" s="11">
        <v>0.1532</v>
      </c>
    </row>
    <row r="1283" spans="1:11">
      <c r="A1283" t="s">
        <v>157</v>
      </c>
      <c r="B1283" s="14" t="s">
        <v>78</v>
      </c>
      <c r="C1283" s="14" t="s">
        <v>62</v>
      </c>
      <c r="D1283" s="14">
        <v>2017</v>
      </c>
      <c r="E1283" s="14">
        <v>2017</v>
      </c>
      <c r="F1283" s="14">
        <v>2017</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v>2017</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v>2017</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v>2017</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v>2017</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v>2017</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v>2017</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v>2017</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v>2017</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v>2017</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v>2017</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v>2017</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v>2017</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v>2017</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v>2017</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v>2017</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v>2017</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v>2017</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v>2017</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v>2017</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v>2017</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v>2017</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v>2017</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v>2017</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v>2017</v>
      </c>
      <c r="G1307" s="14"/>
      <c r="H1307" s="11">
        <v>9.3200000000000005E-2</v>
      </c>
      <c r="I1307" s="11">
        <v>0.19969999999999999</v>
      </c>
      <c r="J1307" s="11">
        <v>7.4800000000000005E-2</v>
      </c>
      <c r="K1307" s="11">
        <v>0.1195</v>
      </c>
    </row>
    <row r="1308" spans="1:11">
      <c r="A1308" t="s">
        <v>182</v>
      </c>
      <c r="B1308" s="14" t="s">
        <v>78</v>
      </c>
      <c r="C1308" s="14" t="s">
        <v>62</v>
      </c>
      <c r="D1308" s="14">
        <v>2017</v>
      </c>
      <c r="E1308" s="14">
        <v>2017</v>
      </c>
      <c r="F1308" s="14">
        <v>2017</v>
      </c>
      <c r="G1308" s="14"/>
      <c r="H1308" s="11">
        <v>0.1804</v>
      </c>
      <c r="I1308" s="11">
        <v>0.25329999999999997</v>
      </c>
      <c r="J1308" s="11">
        <v>0.31359999999999999</v>
      </c>
      <c r="K1308" s="11">
        <v>0.34119999999999995</v>
      </c>
    </row>
  </sheetData>
  <sheetProtection algorithmName="SHA-512" hashValue="lE6fWJeJq+LMFs9UfIlWOiBH7RnPFqkClkZNBfSSU2qD0Mo4O+fJpc7HTg7uqm/w1T+LsLT9lAc5A8srtQUTpw==" saltValue="b5VIIqK/O/oSjLlWFlZyN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11"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89" t="s">
        <v>250</v>
      </c>
      <c r="B8" s="189"/>
      <c r="C8" s="189"/>
      <c r="D8" s="189"/>
      <c r="E8" s="67" t="s">
        <v>219</v>
      </c>
      <c r="F8" s="67" t="s">
        <v>219</v>
      </c>
      <c r="G8" s="67" t="s">
        <v>219</v>
      </c>
      <c r="H8" s="67" t="s">
        <v>219</v>
      </c>
      <c r="I8" s="67" t="s">
        <v>245</v>
      </c>
      <c r="J8" s="67" t="s">
        <v>245</v>
      </c>
      <c r="K8" s="67" t="s">
        <v>245</v>
      </c>
      <c r="L8" s="67" t="s">
        <v>245</v>
      </c>
      <c r="M8" s="67" t="s">
        <v>270</v>
      </c>
      <c r="N8" s="67" t="s">
        <v>270</v>
      </c>
      <c r="O8" s="67" t="s">
        <v>246</v>
      </c>
      <c r="P8" s="67" t="s">
        <v>246</v>
      </c>
      <c r="Q8" s="67" t="s">
        <v>246</v>
      </c>
      <c r="R8" s="67" t="s">
        <v>247</v>
      </c>
      <c r="S8" s="83" t="s">
        <v>248</v>
      </c>
      <c r="T8" s="67" t="s">
        <v>249</v>
      </c>
      <c r="U8" s="160" t="s">
        <v>225</v>
      </c>
    </row>
    <row r="9" spans="1:23" s="13" customFormat="1" ht="7.5" customHeight="1">
      <c r="E9" s="14"/>
      <c r="F9" s="14"/>
      <c r="G9" s="14"/>
      <c r="H9" s="61"/>
      <c r="I9" s="59"/>
      <c r="J9" s="59"/>
      <c r="K9" s="59"/>
      <c r="L9" s="59"/>
      <c r="M9" s="59"/>
      <c r="N9" s="59"/>
      <c r="O9" s="60"/>
      <c r="P9" s="60"/>
      <c r="Q9" s="60"/>
      <c r="R9" s="60"/>
      <c r="S9" s="60"/>
      <c r="T9" s="60"/>
      <c r="U9" s="161"/>
    </row>
    <row r="10" spans="1:23" ht="17.25" customHeight="1">
      <c r="A10" s="15" t="s">
        <v>0</v>
      </c>
      <c r="B10" s="16" t="s">
        <v>68</v>
      </c>
      <c r="C10" s="16" t="s">
        <v>93</v>
      </c>
      <c r="D10" s="16" t="s">
        <v>90</v>
      </c>
      <c r="E10" s="35" t="s">
        <v>97</v>
      </c>
      <c r="F10" s="35" t="s">
        <v>98</v>
      </c>
      <c r="G10" s="35" t="s">
        <v>95</v>
      </c>
      <c r="H10" s="35" t="s">
        <v>96</v>
      </c>
      <c r="I10" s="35" t="s">
        <v>111</v>
      </c>
      <c r="J10" s="35" t="s">
        <v>110</v>
      </c>
      <c r="K10" s="35" t="s">
        <v>234</v>
      </c>
      <c r="L10" s="35" t="s">
        <v>235</v>
      </c>
      <c r="M10" s="35" t="s">
        <v>268</v>
      </c>
      <c r="N10" s="35" t="s">
        <v>269</v>
      </c>
      <c r="O10" s="16" t="s">
        <v>236</v>
      </c>
      <c r="P10" s="16" t="s">
        <v>237</v>
      </c>
      <c r="Q10" s="16" t="s">
        <v>238</v>
      </c>
      <c r="R10" s="16" t="s">
        <v>239</v>
      </c>
      <c r="S10" s="16" t="s">
        <v>240</v>
      </c>
      <c r="T10" s="16" t="s">
        <v>241</v>
      </c>
      <c r="U10" s="162" t="s">
        <v>242</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57">
        <v>38041489</v>
      </c>
      <c r="P11" s="157">
        <v>6594782</v>
      </c>
      <c r="Q11" s="157">
        <v>9224959</v>
      </c>
      <c r="R11" s="157">
        <v>3775905</v>
      </c>
      <c r="S11" s="157">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57">
        <v>1554446</v>
      </c>
      <c r="P12" s="157">
        <v>268678</v>
      </c>
      <c r="Q12" s="157">
        <v>339034</v>
      </c>
      <c r="R12" s="157">
        <v>134661</v>
      </c>
      <c r="S12" s="157">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57">
        <v>1166</v>
      </c>
      <c r="P13" s="157">
        <v>310</v>
      </c>
      <c r="Q13" s="157">
        <v>242</v>
      </c>
      <c r="R13" s="157">
        <v>24</v>
      </c>
      <c r="S13" s="157">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57">
        <v>37746</v>
      </c>
      <c r="P14" s="157">
        <v>12070</v>
      </c>
      <c r="Q14" s="157">
        <v>6121</v>
      </c>
      <c r="R14" s="157">
        <v>507</v>
      </c>
      <c r="S14" s="157">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57">
        <v>221797</v>
      </c>
      <c r="P15" s="157">
        <v>50242</v>
      </c>
      <c r="Q15" s="157">
        <v>45853</v>
      </c>
      <c r="R15" s="157">
        <v>5475</v>
      </c>
      <c r="S15" s="157">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57">
        <v>45305</v>
      </c>
      <c r="P16" s="157">
        <v>14799</v>
      </c>
      <c r="Q16" s="157">
        <v>8279</v>
      </c>
      <c r="R16" s="157">
        <v>559</v>
      </c>
      <c r="S16" s="157">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57">
        <v>21781</v>
      </c>
      <c r="P17" s="157">
        <v>3842</v>
      </c>
      <c r="Q17" s="157">
        <v>6269</v>
      </c>
      <c r="R17" s="157">
        <v>3235</v>
      </c>
      <c r="S17" s="157">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57">
        <v>1075665</v>
      </c>
      <c r="P18" s="157">
        <v>208340</v>
      </c>
      <c r="Q18" s="157">
        <v>254628</v>
      </c>
      <c r="R18" s="157">
        <v>66528</v>
      </c>
      <c r="S18" s="157">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57">
        <v>27996</v>
      </c>
      <c r="P19" s="157">
        <v>5991</v>
      </c>
      <c r="Q19" s="157">
        <v>5952</v>
      </c>
      <c r="R19" s="157">
        <v>549</v>
      </c>
      <c r="S19" s="157">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57">
        <v>181098</v>
      </c>
      <c r="P20" s="157">
        <v>43346</v>
      </c>
      <c r="Q20" s="157">
        <v>39241</v>
      </c>
      <c r="R20" s="157">
        <v>3301</v>
      </c>
      <c r="S20" s="157">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57">
        <v>950634</v>
      </c>
      <c r="P21" s="157">
        <v>143065</v>
      </c>
      <c r="Q21" s="157">
        <v>277286</v>
      </c>
      <c r="R21" s="157">
        <v>115573</v>
      </c>
      <c r="S21" s="157">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57">
        <v>28508</v>
      </c>
      <c r="P22" s="157">
        <v>5548</v>
      </c>
      <c r="Q22" s="157">
        <v>7763</v>
      </c>
      <c r="R22" s="157">
        <v>2433</v>
      </c>
      <c r="S22" s="157">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57">
        <v>134840</v>
      </c>
      <c r="P23" s="157">
        <v>28927</v>
      </c>
      <c r="Q23" s="157">
        <v>27212</v>
      </c>
      <c r="R23" s="157">
        <v>2104</v>
      </c>
      <c r="S23" s="157">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57">
        <v>179414</v>
      </c>
      <c r="P24" s="157">
        <v>27666</v>
      </c>
      <c r="Q24" s="157">
        <v>52349</v>
      </c>
      <c r="R24" s="157">
        <v>32769</v>
      </c>
      <c r="S24" s="157">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57">
        <v>18569</v>
      </c>
      <c r="P25" s="157">
        <v>5138</v>
      </c>
      <c r="Q25" s="157">
        <v>3870</v>
      </c>
      <c r="R25" s="157">
        <v>490</v>
      </c>
      <c r="S25" s="157">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57">
        <v>858271</v>
      </c>
      <c r="P26" s="157">
        <v>118079</v>
      </c>
      <c r="Q26" s="157">
        <v>254266</v>
      </c>
      <c r="R26" s="157">
        <v>85452</v>
      </c>
      <c r="S26" s="157">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57">
        <v>149973</v>
      </c>
      <c r="P27" s="157">
        <v>18817</v>
      </c>
      <c r="Q27" s="157">
        <v>43993</v>
      </c>
      <c r="R27" s="157">
        <v>14061</v>
      </c>
      <c r="S27" s="157">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57">
        <v>64839</v>
      </c>
      <c r="P28" s="157">
        <v>17552</v>
      </c>
      <c r="Q28" s="157">
        <v>13511</v>
      </c>
      <c r="R28" s="157">
        <v>1920</v>
      </c>
      <c r="S28" s="157">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57">
        <v>33011</v>
      </c>
      <c r="P29" s="157">
        <v>5947</v>
      </c>
      <c r="Q29" s="157">
        <v>5877</v>
      </c>
      <c r="R29" s="157">
        <v>704</v>
      </c>
      <c r="S29" s="157">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57">
        <v>9988287</v>
      </c>
      <c r="P30" s="157">
        <v>1644011</v>
      </c>
      <c r="Q30" s="157">
        <v>2359961</v>
      </c>
      <c r="R30" s="157">
        <v>1372113</v>
      </c>
      <c r="S30" s="157">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57">
        <v>150814</v>
      </c>
      <c r="P31" s="157">
        <v>26206</v>
      </c>
      <c r="Q31" s="157">
        <v>43195</v>
      </c>
      <c r="R31" s="157">
        <v>20218</v>
      </c>
      <c r="S31" s="157">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57">
        <v>255765</v>
      </c>
      <c r="P32" s="157">
        <v>66463</v>
      </c>
      <c r="Q32" s="157">
        <v>52352</v>
      </c>
      <c r="R32" s="157">
        <v>11689</v>
      </c>
      <c r="S32" s="157">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57">
        <v>18223</v>
      </c>
      <c r="P33" s="157">
        <v>5847</v>
      </c>
      <c r="Q33" s="157">
        <v>3092</v>
      </c>
      <c r="R33" s="157">
        <v>155</v>
      </c>
      <c r="S33" s="157">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57">
        <v>87976</v>
      </c>
      <c r="P34" s="157">
        <v>22168</v>
      </c>
      <c r="Q34" s="157">
        <v>19247</v>
      </c>
      <c r="R34" s="157">
        <v>4188</v>
      </c>
      <c r="S34" s="157">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57">
        <v>262919</v>
      </c>
      <c r="P35" s="157">
        <v>36760</v>
      </c>
      <c r="Q35" s="157">
        <v>80219</v>
      </c>
      <c r="R35" s="157">
        <v>31663</v>
      </c>
      <c r="S35" s="157">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57">
        <v>9634</v>
      </c>
      <c r="P36" s="157">
        <v>2878</v>
      </c>
      <c r="Q36" s="157">
        <v>2028</v>
      </c>
      <c r="R36" s="157">
        <v>280</v>
      </c>
      <c r="S36" s="157">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57">
        <v>14122</v>
      </c>
      <c r="P37" s="157">
        <v>2349</v>
      </c>
      <c r="Q37" s="157">
        <v>2931</v>
      </c>
      <c r="R37" s="157">
        <v>870</v>
      </c>
      <c r="S37" s="157">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57">
        <v>423881</v>
      </c>
      <c r="P38" s="157">
        <v>69907</v>
      </c>
      <c r="Q38" s="157">
        <v>112042</v>
      </c>
      <c r="R38" s="157">
        <v>79767</v>
      </c>
      <c r="S38" s="157">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57">
        <v>138655</v>
      </c>
      <c r="P39" s="157">
        <v>30971</v>
      </c>
      <c r="Q39" s="157">
        <v>30966</v>
      </c>
      <c r="R39" s="157">
        <v>12388</v>
      </c>
      <c r="S39" s="157">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57">
        <v>98068</v>
      </c>
      <c r="P40" s="157">
        <v>30206</v>
      </c>
      <c r="Q40" s="157">
        <v>17791</v>
      </c>
      <c r="R40" s="157">
        <v>1312</v>
      </c>
      <c r="S40" s="157">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57">
        <v>3084036</v>
      </c>
      <c r="P41" s="157">
        <v>539389</v>
      </c>
      <c r="Q41" s="157">
        <v>732869</v>
      </c>
      <c r="R41" s="157">
        <v>322892</v>
      </c>
      <c r="S41" s="157">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57">
        <v>359890</v>
      </c>
      <c r="P42" s="157">
        <v>82787</v>
      </c>
      <c r="Q42" s="157">
        <v>82232</v>
      </c>
      <c r="R42" s="157">
        <v>6656</v>
      </c>
      <c r="S42" s="157">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57">
        <v>19883</v>
      </c>
      <c r="P43" s="157">
        <v>6584</v>
      </c>
      <c r="Q43" s="157">
        <v>3423</v>
      </c>
      <c r="R43" s="157">
        <v>261</v>
      </c>
      <c r="S43" s="157">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57">
        <v>2253317</v>
      </c>
      <c r="P44" s="157">
        <v>388894</v>
      </c>
      <c r="Q44" s="157">
        <v>610090</v>
      </c>
      <c r="R44" s="157">
        <v>178052</v>
      </c>
      <c r="S44" s="157">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57">
        <v>1445230</v>
      </c>
      <c r="P45" s="157">
        <v>246325</v>
      </c>
      <c r="Q45" s="157">
        <v>360996</v>
      </c>
      <c r="R45" s="157">
        <v>97511</v>
      </c>
      <c r="S45" s="157">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57">
        <v>56333</v>
      </c>
      <c r="P46" s="157">
        <v>8855</v>
      </c>
      <c r="Q46" s="157">
        <v>15464</v>
      </c>
      <c r="R46" s="157">
        <v>6386</v>
      </c>
      <c r="S46" s="157">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57">
        <v>2077560</v>
      </c>
      <c r="P47" s="157">
        <v>292854</v>
      </c>
      <c r="Q47" s="157">
        <v>585442</v>
      </c>
      <c r="R47" s="157">
        <v>172415</v>
      </c>
      <c r="S47" s="157">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57">
        <v>3174446</v>
      </c>
      <c r="P48" s="157">
        <v>545262</v>
      </c>
      <c r="Q48" s="157">
        <v>745003</v>
      </c>
      <c r="R48" s="157">
        <v>228674</v>
      </c>
      <c r="S48" s="157">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57">
        <v>832605</v>
      </c>
      <c r="P49" s="157">
        <v>166284</v>
      </c>
      <c r="Q49" s="157">
        <v>111955</v>
      </c>
      <c r="R49" s="157">
        <v>105810</v>
      </c>
      <c r="S49" s="157">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57">
        <v>700414</v>
      </c>
      <c r="P50" s="157">
        <v>109853</v>
      </c>
      <c r="Q50" s="157">
        <v>198439</v>
      </c>
      <c r="R50" s="157">
        <v>64140</v>
      </c>
      <c r="S50" s="157">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57">
        <v>272608</v>
      </c>
      <c r="P51" s="157">
        <v>64135</v>
      </c>
      <c r="Q51" s="157">
        <v>49952</v>
      </c>
      <c r="R51" s="157">
        <v>9420</v>
      </c>
      <c r="S51" s="157">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57">
        <v>740568</v>
      </c>
      <c r="P52" s="157">
        <v>148953</v>
      </c>
      <c r="Q52" s="157">
        <v>160010</v>
      </c>
      <c r="R52" s="157">
        <v>60960</v>
      </c>
      <c r="S52" s="157">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57">
        <v>430287</v>
      </c>
      <c r="P53" s="157">
        <v>78892</v>
      </c>
      <c r="Q53" s="157">
        <v>97191</v>
      </c>
      <c r="R53" s="157">
        <v>45401</v>
      </c>
      <c r="S53" s="157">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57">
        <v>1840218</v>
      </c>
      <c r="P54" s="157">
        <v>307307</v>
      </c>
      <c r="Q54" s="157">
        <v>432393</v>
      </c>
      <c r="R54" s="157">
        <v>178148</v>
      </c>
      <c r="S54" s="157">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57">
        <v>267672</v>
      </c>
      <c r="P55" s="157">
        <v>50507</v>
      </c>
      <c r="Q55" s="157">
        <v>56197</v>
      </c>
      <c r="R55" s="157">
        <v>21496</v>
      </c>
      <c r="S55" s="157">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57">
        <v>177962</v>
      </c>
      <c r="P56" s="157">
        <v>44246</v>
      </c>
      <c r="Q56" s="157">
        <v>38697</v>
      </c>
      <c r="R56" s="157">
        <v>2105</v>
      </c>
      <c r="S56" s="157">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57">
        <v>3206</v>
      </c>
      <c r="P57" s="157">
        <v>1111</v>
      </c>
      <c r="Q57" s="157">
        <v>514</v>
      </c>
      <c r="R57" s="157">
        <v>60</v>
      </c>
      <c r="S57" s="157">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57">
        <v>44765</v>
      </c>
      <c r="P58" s="157">
        <v>13411</v>
      </c>
      <c r="Q58" s="157">
        <v>9047</v>
      </c>
      <c r="R58" s="157">
        <v>820</v>
      </c>
      <c r="S58" s="157">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57">
        <v>417443</v>
      </c>
      <c r="P59" s="157">
        <v>77123</v>
      </c>
      <c r="Q59" s="157">
        <v>99754</v>
      </c>
      <c r="R59" s="157">
        <v>21564</v>
      </c>
      <c r="S59" s="157">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57">
        <v>489752</v>
      </c>
      <c r="P60" s="157">
        <v>110173</v>
      </c>
      <c r="Q60" s="157">
        <v>102681</v>
      </c>
      <c r="R60" s="157">
        <v>29280</v>
      </c>
      <c r="S60" s="157">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57">
        <v>523596</v>
      </c>
      <c r="P61" s="157">
        <v>83920</v>
      </c>
      <c r="Q61" s="157">
        <v>145557</v>
      </c>
      <c r="R61" s="157">
        <v>48024</v>
      </c>
      <c r="S61" s="157">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57">
        <v>96047</v>
      </c>
      <c r="P62" s="157">
        <v>17509</v>
      </c>
      <c r="Q62" s="157">
        <v>25761</v>
      </c>
      <c r="R62" s="157">
        <v>9590</v>
      </c>
      <c r="S62" s="157">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57">
        <v>63711</v>
      </c>
      <c r="P63" s="157">
        <v>14824</v>
      </c>
      <c r="Q63" s="157">
        <v>15640</v>
      </c>
      <c r="R63" s="157">
        <v>2546</v>
      </c>
      <c r="S63" s="157">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57">
        <v>13704</v>
      </c>
      <c r="P64" s="157">
        <v>4397</v>
      </c>
      <c r="Q64" s="157">
        <v>2376</v>
      </c>
      <c r="R64" s="157">
        <v>21</v>
      </c>
      <c r="S64" s="157">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57">
        <v>452135</v>
      </c>
      <c r="P65" s="157">
        <v>64585</v>
      </c>
      <c r="Q65" s="157">
        <v>143994</v>
      </c>
      <c r="R65" s="157">
        <v>60886</v>
      </c>
      <c r="S65" s="157">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57">
        <v>55033</v>
      </c>
      <c r="P66" s="157">
        <v>17126</v>
      </c>
      <c r="Q66" s="157">
        <v>9453</v>
      </c>
      <c r="R66" s="157">
        <v>653</v>
      </c>
      <c r="S66" s="157">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57">
        <v>836553</v>
      </c>
      <c r="P67" s="157">
        <v>150596</v>
      </c>
      <c r="Q67" s="157">
        <v>206972</v>
      </c>
      <c r="R67" s="157">
        <v>79320</v>
      </c>
      <c r="S67" s="157">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57">
        <v>205408</v>
      </c>
      <c r="P68" s="157">
        <v>31294</v>
      </c>
      <c r="Q68" s="157">
        <v>46026</v>
      </c>
      <c r="R68" s="157">
        <v>13923</v>
      </c>
      <c r="S68" s="157">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57">
        <v>73704</v>
      </c>
      <c r="P69" s="157">
        <v>11463</v>
      </c>
      <c r="Q69" s="157">
        <v>21261</v>
      </c>
      <c r="R69" s="157">
        <v>3903</v>
      </c>
      <c r="S69" s="157">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57">
        <v>38373434</v>
      </c>
      <c r="P70" s="157">
        <v>6838104</v>
      </c>
      <c r="Q70" s="157">
        <v>9224243</v>
      </c>
      <c r="R70" s="157">
        <v>3750293</v>
      </c>
      <c r="S70" s="157">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57">
        <v>1575797</v>
      </c>
      <c r="P71" s="157">
        <v>279128</v>
      </c>
      <c r="Q71" s="157">
        <v>340838</v>
      </c>
      <c r="R71" s="157">
        <v>133681</v>
      </c>
      <c r="S71" s="157">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57">
        <v>1164</v>
      </c>
      <c r="P72" s="157">
        <v>329</v>
      </c>
      <c r="Q72" s="157">
        <v>235</v>
      </c>
      <c r="R72" s="157">
        <v>25</v>
      </c>
      <c r="S72" s="157">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57">
        <v>37582</v>
      </c>
      <c r="P73" s="157">
        <v>12428</v>
      </c>
      <c r="Q73" s="157">
        <v>6034</v>
      </c>
      <c r="R73" s="157">
        <v>484</v>
      </c>
      <c r="S73" s="157">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57">
        <v>222229</v>
      </c>
      <c r="P74" s="157">
        <v>51289</v>
      </c>
      <c r="Q74" s="157">
        <v>45592</v>
      </c>
      <c r="R74" s="157">
        <v>4375</v>
      </c>
      <c r="S74" s="157">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57">
        <v>45116</v>
      </c>
      <c r="P75" s="157">
        <v>15204</v>
      </c>
      <c r="Q75" s="157">
        <v>7991</v>
      </c>
      <c r="R75" s="157">
        <v>410</v>
      </c>
      <c r="S75" s="157">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57">
        <v>21972</v>
      </c>
      <c r="P76" s="157">
        <v>4009</v>
      </c>
      <c r="Q76" s="157">
        <v>6223</v>
      </c>
      <c r="R76" s="157">
        <v>2986</v>
      </c>
      <c r="S76" s="157">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57">
        <v>1089656</v>
      </c>
      <c r="P77" s="157">
        <v>217528</v>
      </c>
      <c r="Q77" s="157">
        <v>254300</v>
      </c>
      <c r="R77" s="157">
        <v>66244</v>
      </c>
      <c r="S77" s="157">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57">
        <v>27543</v>
      </c>
      <c r="P78" s="157">
        <v>6139</v>
      </c>
      <c r="Q78" s="157">
        <v>5946</v>
      </c>
      <c r="R78" s="157">
        <v>733</v>
      </c>
      <c r="S78" s="157">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57">
        <v>182280</v>
      </c>
      <c r="P79" s="157">
        <v>45482</v>
      </c>
      <c r="Q79" s="157">
        <v>38499</v>
      </c>
      <c r="R79" s="157">
        <v>3580</v>
      </c>
      <c r="S79" s="157">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57">
        <v>959506</v>
      </c>
      <c r="P80" s="157">
        <v>147427</v>
      </c>
      <c r="Q80" s="157">
        <v>277393</v>
      </c>
      <c r="R80" s="157">
        <v>108885</v>
      </c>
      <c r="S80" s="157">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57">
        <v>28684</v>
      </c>
      <c r="P81" s="157">
        <v>5704</v>
      </c>
      <c r="Q81" s="157">
        <v>7682</v>
      </c>
      <c r="R81" s="157">
        <v>2638</v>
      </c>
      <c r="S81" s="157">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57">
        <v>134923</v>
      </c>
      <c r="P82" s="157">
        <v>29972</v>
      </c>
      <c r="Q82" s="157">
        <v>27424</v>
      </c>
      <c r="R82" s="157">
        <v>2347</v>
      </c>
      <c r="S82" s="157">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57">
        <v>180300</v>
      </c>
      <c r="P83" s="157">
        <v>28632</v>
      </c>
      <c r="Q83" s="157">
        <v>52883</v>
      </c>
      <c r="R83" s="157">
        <v>32195</v>
      </c>
      <c r="S83" s="157">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57">
        <v>18585</v>
      </c>
      <c r="P84" s="157">
        <v>5260</v>
      </c>
      <c r="Q84" s="157">
        <v>3867</v>
      </c>
      <c r="R84" s="157">
        <v>532</v>
      </c>
      <c r="S84" s="157">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57">
        <v>868594</v>
      </c>
      <c r="P85" s="157">
        <v>122646</v>
      </c>
      <c r="Q85" s="157">
        <v>255255</v>
      </c>
      <c r="R85" s="157">
        <v>88100</v>
      </c>
      <c r="S85" s="157">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57">
        <v>150276</v>
      </c>
      <c r="P86" s="157">
        <v>19553</v>
      </c>
      <c r="Q86" s="157">
        <v>44622</v>
      </c>
      <c r="R86" s="157">
        <v>14426</v>
      </c>
      <c r="S86" s="157">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57">
        <v>64781</v>
      </c>
      <c r="P87" s="157">
        <v>17890</v>
      </c>
      <c r="Q87" s="157">
        <v>13482</v>
      </c>
      <c r="R87" s="157">
        <v>1792</v>
      </c>
      <c r="S87" s="157">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57">
        <v>32295</v>
      </c>
      <c r="P88" s="157">
        <v>6153</v>
      </c>
      <c r="Q88" s="157">
        <v>5674</v>
      </c>
      <c r="R88" s="157">
        <v>769</v>
      </c>
      <c r="S88" s="157">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57">
        <v>10055477</v>
      </c>
      <c r="P89" s="157">
        <v>1703951</v>
      </c>
      <c r="Q89" s="157">
        <v>2347353</v>
      </c>
      <c r="R89" s="157">
        <v>1402433</v>
      </c>
      <c r="S89" s="157">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57">
        <v>152235</v>
      </c>
      <c r="P90" s="157">
        <v>26826</v>
      </c>
      <c r="Q90" s="157">
        <v>42521</v>
      </c>
      <c r="R90" s="157">
        <v>20706</v>
      </c>
      <c r="S90" s="157">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57">
        <v>258569</v>
      </c>
      <c r="P91" s="157">
        <v>69013</v>
      </c>
      <c r="Q91" s="157">
        <v>52768</v>
      </c>
      <c r="R91" s="157">
        <v>8867</v>
      </c>
      <c r="S91" s="157">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57">
        <v>18154</v>
      </c>
      <c r="P92" s="157">
        <v>5972</v>
      </c>
      <c r="Q92" s="157">
        <v>3041</v>
      </c>
      <c r="R92" s="157">
        <v>227</v>
      </c>
      <c r="S92" s="157">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57">
        <v>88064</v>
      </c>
      <c r="P93" s="157">
        <v>22806</v>
      </c>
      <c r="Q93" s="157">
        <v>19177</v>
      </c>
      <c r="R93" s="157">
        <v>4171</v>
      </c>
      <c r="S93" s="157">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57">
        <v>264783</v>
      </c>
      <c r="P94" s="157">
        <v>37754</v>
      </c>
      <c r="Q94" s="157">
        <v>79930</v>
      </c>
      <c r="R94" s="157">
        <v>35644</v>
      </c>
      <c r="S94" s="157">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57">
        <v>9603</v>
      </c>
      <c r="P95" s="157">
        <v>2943</v>
      </c>
      <c r="Q95" s="157">
        <v>1938</v>
      </c>
      <c r="R95" s="157">
        <v>335</v>
      </c>
      <c r="S95" s="157">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57">
        <v>13902</v>
      </c>
      <c r="P96" s="157">
        <v>2435</v>
      </c>
      <c r="Q96" s="157">
        <v>2885</v>
      </c>
      <c r="R96" s="157">
        <v>937</v>
      </c>
      <c r="S96" s="157">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57">
        <v>426453</v>
      </c>
      <c r="P97" s="157">
        <v>72349</v>
      </c>
      <c r="Q97" s="157">
        <v>112710</v>
      </c>
      <c r="R97" s="157">
        <v>64059</v>
      </c>
      <c r="S97" s="157">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57">
        <v>139298</v>
      </c>
      <c r="P98" s="157">
        <v>31686</v>
      </c>
      <c r="Q98" s="157">
        <v>30651</v>
      </c>
      <c r="R98" s="157">
        <v>12782</v>
      </c>
      <c r="S98" s="157">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57">
        <v>97727</v>
      </c>
      <c r="P99" s="157">
        <v>30971</v>
      </c>
      <c r="Q99" s="157">
        <v>17288</v>
      </c>
      <c r="R99" s="157">
        <v>1576</v>
      </c>
      <c r="S99" s="157">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57">
        <v>3110802</v>
      </c>
      <c r="P100" s="157">
        <v>559177</v>
      </c>
      <c r="Q100" s="157">
        <v>732435</v>
      </c>
      <c r="R100" s="157">
        <v>316852</v>
      </c>
      <c r="S100" s="157">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57">
        <v>364242</v>
      </c>
      <c r="P101" s="157">
        <v>86331</v>
      </c>
      <c r="Q101" s="157">
        <v>81413</v>
      </c>
      <c r="R101" s="157">
        <v>8063</v>
      </c>
      <c r="S101" s="157">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57">
        <v>19769</v>
      </c>
      <c r="P102" s="157">
        <v>6746</v>
      </c>
      <c r="Q102" s="157">
        <v>3341</v>
      </c>
      <c r="R102" s="157">
        <v>217</v>
      </c>
      <c r="S102" s="157">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57">
        <v>2276765</v>
      </c>
      <c r="P103" s="157">
        <v>403451</v>
      </c>
      <c r="Q103" s="157">
        <v>606027</v>
      </c>
      <c r="R103" s="157">
        <v>173255</v>
      </c>
      <c r="S103" s="157">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57">
        <v>1455602</v>
      </c>
      <c r="P104" s="157">
        <v>254263</v>
      </c>
      <c r="Q104" s="157">
        <v>359273</v>
      </c>
      <c r="R104" s="157">
        <v>101446</v>
      </c>
      <c r="S104" s="157">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57">
        <v>56750</v>
      </c>
      <c r="P105" s="157">
        <v>9308</v>
      </c>
      <c r="Q105" s="157">
        <v>15284</v>
      </c>
      <c r="R105" s="157">
        <v>5777</v>
      </c>
      <c r="S105" s="157">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57">
        <v>2092149</v>
      </c>
      <c r="P106" s="157">
        <v>304215</v>
      </c>
      <c r="Q106" s="157">
        <v>582138</v>
      </c>
      <c r="R106" s="157">
        <v>156056</v>
      </c>
      <c r="S106" s="157">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57">
        <v>3208946</v>
      </c>
      <c r="P107" s="157">
        <v>565956</v>
      </c>
      <c r="Q107" s="157">
        <v>758400</v>
      </c>
      <c r="R107" s="157">
        <v>236315</v>
      </c>
      <c r="S107" s="157">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57">
        <v>843735</v>
      </c>
      <c r="P108" s="157">
        <v>171722</v>
      </c>
      <c r="Q108" s="157">
        <v>115569</v>
      </c>
      <c r="R108" s="157">
        <v>96046</v>
      </c>
      <c r="S108" s="157">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57">
        <v>705767</v>
      </c>
      <c r="P109" s="157">
        <v>113339</v>
      </c>
      <c r="Q109" s="157">
        <v>197747</v>
      </c>
      <c r="R109" s="157">
        <v>64800</v>
      </c>
      <c r="S109" s="157">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57">
        <v>273494</v>
      </c>
      <c r="P110" s="157">
        <v>67011</v>
      </c>
      <c r="Q110" s="157">
        <v>50160</v>
      </c>
      <c r="R110" s="157">
        <v>10073</v>
      </c>
      <c r="S110" s="157">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57">
        <v>748761</v>
      </c>
      <c r="P111" s="157">
        <v>154350</v>
      </c>
      <c r="Q111" s="157">
        <v>160497</v>
      </c>
      <c r="R111" s="157">
        <v>58256</v>
      </c>
      <c r="S111" s="157">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57">
        <v>435241</v>
      </c>
      <c r="P112" s="157">
        <v>81286</v>
      </c>
      <c r="Q112" s="157">
        <v>98542</v>
      </c>
      <c r="R112" s="157">
        <v>46332</v>
      </c>
      <c r="S112" s="157">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57">
        <v>1866208</v>
      </c>
      <c r="P113" s="157">
        <v>320385</v>
      </c>
      <c r="Q113" s="157">
        <v>436884</v>
      </c>
      <c r="R113" s="157">
        <v>176036</v>
      </c>
      <c r="S113" s="157">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57">
        <v>270416</v>
      </c>
      <c r="P114" s="157">
        <v>53284</v>
      </c>
      <c r="Q114" s="157">
        <v>57070</v>
      </c>
      <c r="R114" s="157">
        <v>20137</v>
      </c>
      <c r="S114" s="157">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57">
        <v>178725</v>
      </c>
      <c r="P115" s="157">
        <v>45337</v>
      </c>
      <c r="Q115" s="157">
        <v>38582</v>
      </c>
      <c r="R115" s="157">
        <v>3086</v>
      </c>
      <c r="S115" s="157">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57">
        <v>3187</v>
      </c>
      <c r="P116" s="157">
        <v>1152</v>
      </c>
      <c r="Q116" s="157">
        <v>494</v>
      </c>
      <c r="R116" s="157">
        <v>93</v>
      </c>
      <c r="S116" s="157">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57">
        <v>44652</v>
      </c>
      <c r="P117" s="157">
        <v>13754</v>
      </c>
      <c r="Q117" s="157">
        <v>8990</v>
      </c>
      <c r="R117" s="157">
        <v>782</v>
      </c>
      <c r="S117" s="157">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57">
        <v>420701</v>
      </c>
      <c r="P118" s="157">
        <v>80627</v>
      </c>
      <c r="Q118" s="157">
        <v>99820</v>
      </c>
      <c r="R118" s="157">
        <v>20853</v>
      </c>
      <c r="S118" s="157">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57">
        <v>494416</v>
      </c>
      <c r="P119" s="157">
        <v>115368</v>
      </c>
      <c r="Q119" s="157">
        <v>102168</v>
      </c>
      <c r="R119" s="157">
        <v>24921</v>
      </c>
      <c r="S119" s="157">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57">
        <v>527687</v>
      </c>
      <c r="P120" s="157">
        <v>86790</v>
      </c>
      <c r="Q120" s="157">
        <v>144854</v>
      </c>
      <c r="R120" s="157">
        <v>48602</v>
      </c>
      <c r="S120" s="157">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57">
        <v>96540</v>
      </c>
      <c r="P121" s="157">
        <v>17949</v>
      </c>
      <c r="Q121" s="157">
        <v>25540</v>
      </c>
      <c r="R121" s="157">
        <v>8366</v>
      </c>
      <c r="S121" s="157">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57">
        <v>63731</v>
      </c>
      <c r="P122" s="157">
        <v>15013</v>
      </c>
      <c r="Q122" s="157">
        <v>15524</v>
      </c>
      <c r="R122" s="157">
        <v>2603</v>
      </c>
      <c r="S122" s="157">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57">
        <v>13667</v>
      </c>
      <c r="P123" s="157">
        <v>4574</v>
      </c>
      <c r="Q123" s="157">
        <v>2316</v>
      </c>
      <c r="R123" s="157">
        <v>36</v>
      </c>
      <c r="S123" s="157">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57">
        <v>455854</v>
      </c>
      <c r="P124" s="157">
        <v>66665</v>
      </c>
      <c r="Q124" s="157">
        <v>144191</v>
      </c>
      <c r="R124" s="157">
        <v>60016</v>
      </c>
      <c r="S124" s="157">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57">
        <v>54894</v>
      </c>
      <c r="P125" s="157">
        <v>17442</v>
      </c>
      <c r="Q125" s="157">
        <v>9195</v>
      </c>
      <c r="R125" s="157">
        <v>696</v>
      </c>
      <c r="S125" s="157">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57">
        <v>842639</v>
      </c>
      <c r="P126" s="157">
        <v>156675</v>
      </c>
      <c r="Q126" s="157">
        <v>205639</v>
      </c>
      <c r="R126" s="157">
        <v>76495</v>
      </c>
      <c r="S126" s="157">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57">
        <v>208194</v>
      </c>
      <c r="P127" s="157">
        <v>32642</v>
      </c>
      <c r="Q127" s="157">
        <v>46533</v>
      </c>
      <c r="R127" s="157">
        <v>14762</v>
      </c>
      <c r="S127" s="157">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57">
        <v>74352</v>
      </c>
      <c r="P128" s="157">
        <v>11813</v>
      </c>
      <c r="Q128" s="157">
        <v>21415</v>
      </c>
      <c r="R128" s="157">
        <v>3382</v>
      </c>
      <c r="S128" s="157">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57">
        <v>38739410</v>
      </c>
      <c r="P129" s="157">
        <v>7107137</v>
      </c>
      <c r="Q129" s="157">
        <v>9213655</v>
      </c>
      <c r="R129" s="157">
        <v>3760183</v>
      </c>
      <c r="S129" s="157">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57">
        <v>1599685</v>
      </c>
      <c r="P130" s="157">
        <v>291375</v>
      </c>
      <c r="Q130" s="157">
        <v>342632</v>
      </c>
      <c r="R130" s="157">
        <v>139309</v>
      </c>
      <c r="S130" s="157">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57">
        <v>1163</v>
      </c>
      <c r="P131" s="157">
        <v>353</v>
      </c>
      <c r="Q131" s="157">
        <v>223</v>
      </c>
      <c r="R131" s="157">
        <v>23</v>
      </c>
      <c r="S131" s="157">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57">
        <v>37447</v>
      </c>
      <c r="P132" s="157">
        <v>12635</v>
      </c>
      <c r="Q132" s="157">
        <v>5905</v>
      </c>
      <c r="R132" s="157">
        <v>559</v>
      </c>
      <c r="S132" s="157">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57">
        <v>223899</v>
      </c>
      <c r="P133" s="157">
        <v>52958</v>
      </c>
      <c r="Q133" s="157">
        <v>45701</v>
      </c>
      <c r="R133" s="157">
        <v>5637</v>
      </c>
      <c r="S133" s="157">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57">
        <v>45009</v>
      </c>
      <c r="P134" s="157">
        <v>15672</v>
      </c>
      <c r="Q134" s="157">
        <v>7781</v>
      </c>
      <c r="R134" s="157">
        <v>598</v>
      </c>
      <c r="S134" s="157">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57">
        <v>22139</v>
      </c>
      <c r="P135" s="157">
        <v>4164</v>
      </c>
      <c r="Q135" s="157">
        <v>6179</v>
      </c>
      <c r="R135" s="157">
        <v>3111</v>
      </c>
      <c r="S135" s="157">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57">
        <v>1102941</v>
      </c>
      <c r="P136" s="157">
        <v>226850</v>
      </c>
      <c r="Q136" s="157">
        <v>253077</v>
      </c>
      <c r="R136" s="157">
        <v>68215</v>
      </c>
      <c r="S136" s="157">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57">
        <v>27235</v>
      </c>
      <c r="P137" s="157">
        <v>6214</v>
      </c>
      <c r="Q137" s="157">
        <v>5853</v>
      </c>
      <c r="R137" s="157">
        <v>725</v>
      </c>
      <c r="S137" s="157">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57">
        <v>182547</v>
      </c>
      <c r="P138" s="157">
        <v>47296</v>
      </c>
      <c r="Q138" s="157">
        <v>37694</v>
      </c>
      <c r="R138" s="157">
        <v>3522</v>
      </c>
      <c r="S138" s="157">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57">
        <v>969410</v>
      </c>
      <c r="P139" s="157">
        <v>152453</v>
      </c>
      <c r="Q139" s="157">
        <v>278353</v>
      </c>
      <c r="R139" s="157">
        <v>109792</v>
      </c>
      <c r="S139" s="157">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57">
        <v>28828</v>
      </c>
      <c r="P140" s="157">
        <v>5854</v>
      </c>
      <c r="Q140" s="157">
        <v>7616</v>
      </c>
      <c r="R140" s="157">
        <v>2410</v>
      </c>
      <c r="S140" s="157">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57">
        <v>134730</v>
      </c>
      <c r="P141" s="157">
        <v>30815</v>
      </c>
      <c r="Q141" s="157">
        <v>27489</v>
      </c>
      <c r="R141" s="157">
        <v>2266</v>
      </c>
      <c r="S141" s="157">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57">
        <v>183179</v>
      </c>
      <c r="P142" s="157">
        <v>29728</v>
      </c>
      <c r="Q142" s="157">
        <v>53679</v>
      </c>
      <c r="R142" s="157">
        <v>33803</v>
      </c>
      <c r="S142" s="157">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57">
        <v>18626</v>
      </c>
      <c r="P143" s="157">
        <v>5425</v>
      </c>
      <c r="Q143" s="157">
        <v>3891</v>
      </c>
      <c r="R143" s="157">
        <v>510</v>
      </c>
      <c r="S143" s="157">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57">
        <v>876668</v>
      </c>
      <c r="P144" s="157">
        <v>127006</v>
      </c>
      <c r="Q144" s="157">
        <v>254635</v>
      </c>
      <c r="R144" s="157">
        <v>79181</v>
      </c>
      <c r="S144" s="157">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57">
        <v>149433</v>
      </c>
      <c r="P145" s="157">
        <v>20063</v>
      </c>
      <c r="Q145" s="157">
        <v>44777</v>
      </c>
      <c r="R145" s="157">
        <v>15306</v>
      </c>
      <c r="S145" s="157">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57">
        <v>65191</v>
      </c>
      <c r="P146" s="157">
        <v>18389</v>
      </c>
      <c r="Q146" s="157">
        <v>13546</v>
      </c>
      <c r="R146" s="157">
        <v>1951</v>
      </c>
      <c r="S146" s="157">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57">
        <v>31841</v>
      </c>
      <c r="P147" s="157">
        <v>6465</v>
      </c>
      <c r="Q147" s="157">
        <v>5544</v>
      </c>
      <c r="R147" s="157">
        <v>712</v>
      </c>
      <c r="S147" s="157">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57">
        <v>10124684</v>
      </c>
      <c r="P148" s="157">
        <v>1771668</v>
      </c>
      <c r="Q148" s="157">
        <v>2332873</v>
      </c>
      <c r="R148" s="157">
        <v>1394350</v>
      </c>
      <c r="S148" s="157">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57">
        <v>154181</v>
      </c>
      <c r="P149" s="157">
        <v>27787</v>
      </c>
      <c r="Q149" s="157">
        <v>42541</v>
      </c>
      <c r="R149" s="157">
        <v>20778</v>
      </c>
      <c r="S149" s="157">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57">
        <v>261033</v>
      </c>
      <c r="P150" s="157">
        <v>71692</v>
      </c>
      <c r="Q150" s="157">
        <v>52956</v>
      </c>
      <c r="R150" s="157">
        <v>11871</v>
      </c>
      <c r="S150" s="157">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57">
        <v>18127</v>
      </c>
      <c r="P151" s="157">
        <v>6151</v>
      </c>
      <c r="Q151" s="157">
        <v>2984</v>
      </c>
      <c r="R151" s="157">
        <v>199</v>
      </c>
      <c r="S151" s="157">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57">
        <v>88523</v>
      </c>
      <c r="P152" s="157">
        <v>23550</v>
      </c>
      <c r="Q152" s="157">
        <v>19209</v>
      </c>
      <c r="R152" s="157">
        <v>4690</v>
      </c>
      <c r="S152" s="157">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57">
        <v>267714</v>
      </c>
      <c r="P153" s="157">
        <v>39044</v>
      </c>
      <c r="Q153" s="157">
        <v>79731</v>
      </c>
      <c r="R153" s="157">
        <v>33521</v>
      </c>
      <c r="S153" s="157">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57">
        <v>9564</v>
      </c>
      <c r="P154" s="157">
        <v>3011</v>
      </c>
      <c r="Q154" s="157">
        <v>1868</v>
      </c>
      <c r="R154" s="157">
        <v>353</v>
      </c>
      <c r="S154" s="157">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57">
        <v>13924</v>
      </c>
      <c r="P155" s="157">
        <v>2537</v>
      </c>
      <c r="Q155" s="157">
        <v>2892</v>
      </c>
      <c r="R155" s="157">
        <v>1069</v>
      </c>
      <c r="S155" s="157">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57">
        <v>429797</v>
      </c>
      <c r="P156" s="157">
        <v>74649</v>
      </c>
      <c r="Q156" s="157">
        <v>112780</v>
      </c>
      <c r="R156" s="157">
        <v>74856</v>
      </c>
      <c r="S156" s="157">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57">
        <v>140646</v>
      </c>
      <c r="P157" s="157">
        <v>32606</v>
      </c>
      <c r="Q157" s="157">
        <v>30516</v>
      </c>
      <c r="R157" s="157">
        <v>11600</v>
      </c>
      <c r="S157" s="157">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57">
        <v>98354</v>
      </c>
      <c r="P158" s="157">
        <v>32223</v>
      </c>
      <c r="Q158" s="157">
        <v>17032</v>
      </c>
      <c r="R158" s="157">
        <v>1472</v>
      </c>
      <c r="S158" s="157">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57">
        <v>3137744</v>
      </c>
      <c r="P159" s="157">
        <v>580776</v>
      </c>
      <c r="Q159" s="157">
        <v>730630</v>
      </c>
      <c r="R159" s="157">
        <v>325313</v>
      </c>
      <c r="S159" s="157">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57">
        <v>368211</v>
      </c>
      <c r="P160" s="157">
        <v>89717</v>
      </c>
      <c r="Q160" s="157">
        <v>80369</v>
      </c>
      <c r="R160" s="157">
        <v>6222</v>
      </c>
      <c r="S160" s="157">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57">
        <v>19692</v>
      </c>
      <c r="P161" s="157">
        <v>6932</v>
      </c>
      <c r="Q161" s="157">
        <v>3284</v>
      </c>
      <c r="R161" s="157">
        <v>202</v>
      </c>
      <c r="S161" s="157">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57">
        <v>2305796</v>
      </c>
      <c r="P162" s="157">
        <v>419886</v>
      </c>
      <c r="Q162" s="157">
        <v>603376</v>
      </c>
      <c r="R162" s="157">
        <v>172588</v>
      </c>
      <c r="S162" s="157">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57">
        <v>1473817</v>
      </c>
      <c r="P163" s="157">
        <v>264209</v>
      </c>
      <c r="Q163" s="157">
        <v>360017</v>
      </c>
      <c r="R163" s="157">
        <v>94516</v>
      </c>
      <c r="S163" s="157">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57">
        <v>57166</v>
      </c>
      <c r="P164" s="157">
        <v>9780</v>
      </c>
      <c r="Q164" s="157">
        <v>15000</v>
      </c>
      <c r="R164" s="157">
        <v>5516</v>
      </c>
      <c r="S164" s="157">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57">
        <v>2111913</v>
      </c>
      <c r="P165" s="157">
        <v>317699</v>
      </c>
      <c r="Q165" s="157">
        <v>580241</v>
      </c>
      <c r="R165" s="157">
        <v>164799</v>
      </c>
      <c r="S165" s="157">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57">
        <v>3248547</v>
      </c>
      <c r="P166" s="157">
        <v>589848</v>
      </c>
      <c r="Q166" s="157">
        <v>765993</v>
      </c>
      <c r="R166" s="157">
        <v>228246</v>
      </c>
      <c r="S166" s="157">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57">
        <v>853732</v>
      </c>
      <c r="P167" s="157">
        <v>177396</v>
      </c>
      <c r="Q167" s="157">
        <v>118492</v>
      </c>
      <c r="R167" s="157">
        <v>103652</v>
      </c>
      <c r="S167" s="157">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57">
        <v>717238</v>
      </c>
      <c r="P168" s="157">
        <v>117817</v>
      </c>
      <c r="Q168" s="157">
        <v>198115</v>
      </c>
      <c r="R168" s="157">
        <v>65961</v>
      </c>
      <c r="S168" s="157">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57">
        <v>276075</v>
      </c>
      <c r="P169" s="157">
        <v>70143</v>
      </c>
      <c r="Q169" s="157">
        <v>50276</v>
      </c>
      <c r="R169" s="157">
        <v>10622</v>
      </c>
      <c r="S169" s="157">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57">
        <v>756371</v>
      </c>
      <c r="P170" s="157">
        <v>160063</v>
      </c>
      <c r="Q170" s="157">
        <v>160673</v>
      </c>
      <c r="R170" s="157">
        <v>55943</v>
      </c>
      <c r="S170" s="157">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57">
        <v>440129</v>
      </c>
      <c r="P171" s="157">
        <v>83614</v>
      </c>
      <c r="Q171" s="157">
        <v>99407</v>
      </c>
      <c r="R171" s="157">
        <v>43550</v>
      </c>
      <c r="S171" s="157">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57">
        <v>1890929</v>
      </c>
      <c r="P172" s="157">
        <v>334303</v>
      </c>
      <c r="Q172" s="157">
        <v>439382</v>
      </c>
      <c r="R172" s="157">
        <v>174224</v>
      </c>
      <c r="S172" s="157">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57">
        <v>271689</v>
      </c>
      <c r="P173" s="157">
        <v>55572</v>
      </c>
      <c r="Q173" s="157">
        <v>57295</v>
      </c>
      <c r="R173" s="157">
        <v>23557</v>
      </c>
      <c r="S173" s="157">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57">
        <v>179251</v>
      </c>
      <c r="P174" s="157">
        <v>46492</v>
      </c>
      <c r="Q174" s="157">
        <v>38313</v>
      </c>
      <c r="R174" s="157">
        <v>2491</v>
      </c>
      <c r="S174" s="157">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57">
        <v>3161</v>
      </c>
      <c r="P175" s="157">
        <v>1178</v>
      </c>
      <c r="Q175" s="157">
        <v>480</v>
      </c>
      <c r="R175" s="157">
        <v>89</v>
      </c>
      <c r="S175" s="157">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57">
        <v>44606</v>
      </c>
      <c r="P176" s="157">
        <v>14051</v>
      </c>
      <c r="Q176" s="157">
        <v>8882</v>
      </c>
      <c r="R176" s="157">
        <v>717</v>
      </c>
      <c r="S176" s="157">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57">
        <v>425430</v>
      </c>
      <c r="P177" s="157">
        <v>84440</v>
      </c>
      <c r="Q177" s="157">
        <v>100040</v>
      </c>
      <c r="R177" s="157">
        <v>18343</v>
      </c>
      <c r="S177" s="157">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57">
        <v>497908</v>
      </c>
      <c r="P178" s="157">
        <v>120571</v>
      </c>
      <c r="Q178" s="157">
        <v>101026</v>
      </c>
      <c r="R178" s="157">
        <v>25983</v>
      </c>
      <c r="S178" s="157">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57">
        <v>531720</v>
      </c>
      <c r="P179" s="157">
        <v>89493</v>
      </c>
      <c r="Q179" s="157">
        <v>144174</v>
      </c>
      <c r="R179" s="157">
        <v>48829</v>
      </c>
      <c r="S179" s="157">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57">
        <v>97101</v>
      </c>
      <c r="P180" s="157">
        <v>18516</v>
      </c>
      <c r="Q180" s="157">
        <v>25359</v>
      </c>
      <c r="R180" s="157">
        <v>8544</v>
      </c>
      <c r="S180" s="157">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57">
        <v>63845</v>
      </c>
      <c r="P181" s="157">
        <v>15194</v>
      </c>
      <c r="Q181" s="157">
        <v>15479</v>
      </c>
      <c r="R181" s="157">
        <v>2345</v>
      </c>
      <c r="S181" s="157">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57">
        <v>13613</v>
      </c>
      <c r="P182" s="157">
        <v>4741</v>
      </c>
      <c r="Q182" s="157">
        <v>2249</v>
      </c>
      <c r="R182" s="157">
        <v>49</v>
      </c>
      <c r="S182" s="157">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57">
        <v>459831</v>
      </c>
      <c r="P183" s="157">
        <v>68978</v>
      </c>
      <c r="Q183" s="157">
        <v>144183</v>
      </c>
      <c r="R183" s="157">
        <v>63244</v>
      </c>
      <c r="S183" s="157">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57">
        <v>54683</v>
      </c>
      <c r="P184" s="157">
        <v>17898</v>
      </c>
      <c r="Q184" s="157">
        <v>9070</v>
      </c>
      <c r="R184" s="157">
        <v>628</v>
      </c>
      <c r="S184" s="157">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57">
        <v>847885</v>
      </c>
      <c r="P185" s="157">
        <v>162970</v>
      </c>
      <c r="Q185" s="157">
        <v>203510</v>
      </c>
      <c r="R185" s="157">
        <v>75693</v>
      </c>
      <c r="S185" s="157">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57">
        <v>209834</v>
      </c>
      <c r="P186" s="157">
        <v>33974</v>
      </c>
      <c r="Q186" s="157">
        <v>46905</v>
      </c>
      <c r="R186" s="157">
        <v>11918</v>
      </c>
      <c r="S186" s="157">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57">
        <v>74975</v>
      </c>
      <c r="P187" s="157">
        <v>12253</v>
      </c>
      <c r="Q187" s="157">
        <v>21478</v>
      </c>
      <c r="R187" s="157">
        <v>4010</v>
      </c>
      <c r="S187" s="157">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57">
        <v>39059809</v>
      </c>
      <c r="P188" s="157">
        <v>7399216</v>
      </c>
      <c r="Q188" s="157">
        <v>9204564</v>
      </c>
      <c r="R188" s="157">
        <v>3780285</v>
      </c>
      <c r="S188" s="157">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57">
        <v>1619679</v>
      </c>
      <c r="P189" s="157">
        <v>304508</v>
      </c>
      <c r="Q189" s="157">
        <v>344053</v>
      </c>
      <c r="R189" s="157">
        <v>136922</v>
      </c>
      <c r="S189" s="157">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57">
        <v>1157</v>
      </c>
      <c r="P190" s="157">
        <v>373</v>
      </c>
      <c r="Q190" s="157">
        <v>217</v>
      </c>
      <c r="R190" s="157">
        <v>13</v>
      </c>
      <c r="S190" s="157">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57">
        <v>37314</v>
      </c>
      <c r="P191" s="157">
        <v>12900</v>
      </c>
      <c r="Q191" s="157">
        <v>5814</v>
      </c>
      <c r="R191" s="157">
        <v>411</v>
      </c>
      <c r="S191" s="157">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57">
        <v>224363</v>
      </c>
      <c r="P192" s="157">
        <v>54238</v>
      </c>
      <c r="Q192" s="157">
        <v>45626</v>
      </c>
      <c r="R192" s="157">
        <v>5020</v>
      </c>
      <c r="S192" s="157">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57">
        <v>44899</v>
      </c>
      <c r="P193" s="157">
        <v>16053</v>
      </c>
      <c r="Q193" s="157">
        <v>7567</v>
      </c>
      <c r="R193" s="157">
        <v>331</v>
      </c>
      <c r="S193" s="157">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57">
        <v>22271</v>
      </c>
      <c r="P194" s="157">
        <v>4316</v>
      </c>
      <c r="Q194" s="157">
        <v>6137</v>
      </c>
      <c r="R194" s="157">
        <v>2864</v>
      </c>
      <c r="S194" s="157">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57">
        <v>1116882</v>
      </c>
      <c r="P195" s="157">
        <v>237699</v>
      </c>
      <c r="Q195" s="157">
        <v>252327</v>
      </c>
      <c r="R195" s="157">
        <v>74992</v>
      </c>
      <c r="S195" s="157">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57">
        <v>27119</v>
      </c>
      <c r="P196" s="157">
        <v>6419</v>
      </c>
      <c r="Q196" s="157">
        <v>5776</v>
      </c>
      <c r="R196" s="157">
        <v>654</v>
      </c>
      <c r="S196" s="157">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57">
        <v>183140</v>
      </c>
      <c r="P197" s="157">
        <v>49149</v>
      </c>
      <c r="Q197" s="157">
        <v>37127</v>
      </c>
      <c r="R197" s="157">
        <v>3365</v>
      </c>
      <c r="S197" s="157">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57">
        <v>979357</v>
      </c>
      <c r="P198" s="157">
        <v>158226</v>
      </c>
      <c r="Q198" s="157">
        <v>279388</v>
      </c>
      <c r="R198" s="157">
        <v>107436</v>
      </c>
      <c r="S198" s="157">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57">
        <v>28960</v>
      </c>
      <c r="P199" s="157">
        <v>6024</v>
      </c>
      <c r="Q199" s="157">
        <v>7599</v>
      </c>
      <c r="R199" s="157">
        <v>2525</v>
      </c>
      <c r="S199" s="157">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57">
        <v>135090</v>
      </c>
      <c r="P200" s="157">
        <v>31797</v>
      </c>
      <c r="Q200" s="157">
        <v>27497</v>
      </c>
      <c r="R200" s="157">
        <v>2396</v>
      </c>
      <c r="S200" s="157">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57">
        <v>185328</v>
      </c>
      <c r="P201" s="157">
        <v>30862</v>
      </c>
      <c r="Q201" s="157">
        <v>53999</v>
      </c>
      <c r="R201" s="157">
        <v>33949</v>
      </c>
      <c r="S201" s="157">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57">
        <v>18640</v>
      </c>
      <c r="P202" s="157">
        <v>5554</v>
      </c>
      <c r="Q202" s="157">
        <v>3865</v>
      </c>
      <c r="R202" s="157">
        <v>495</v>
      </c>
      <c r="S202" s="157">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57">
        <v>883327</v>
      </c>
      <c r="P203" s="157">
        <v>132102</v>
      </c>
      <c r="Q203" s="157">
        <v>254777</v>
      </c>
      <c r="R203" s="157">
        <v>87761</v>
      </c>
      <c r="S203" s="157">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57">
        <v>149702</v>
      </c>
      <c r="P204" s="157">
        <v>20873</v>
      </c>
      <c r="Q204" s="157">
        <v>45340</v>
      </c>
      <c r="R204" s="157">
        <v>13818</v>
      </c>
      <c r="S204" s="157">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57">
        <v>65180</v>
      </c>
      <c r="P205" s="157">
        <v>18831</v>
      </c>
      <c r="Q205" s="157">
        <v>13497</v>
      </c>
      <c r="R205" s="157">
        <v>2109</v>
      </c>
      <c r="S205" s="157">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57">
        <v>30969</v>
      </c>
      <c r="P206" s="157">
        <v>6731</v>
      </c>
      <c r="Q206" s="157">
        <v>5429</v>
      </c>
      <c r="R206" s="157">
        <v>650</v>
      </c>
      <c r="S206" s="157">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57">
        <v>10185487</v>
      </c>
      <c r="P207" s="157">
        <v>1846906</v>
      </c>
      <c r="Q207" s="157">
        <v>2319368</v>
      </c>
      <c r="R207" s="157">
        <v>1352159</v>
      </c>
      <c r="S207" s="157">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57">
        <v>154956</v>
      </c>
      <c r="P208" s="157">
        <v>28618</v>
      </c>
      <c r="Q208" s="157">
        <v>42496</v>
      </c>
      <c r="R208" s="157">
        <v>20134</v>
      </c>
      <c r="S208" s="157">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57">
        <v>262105</v>
      </c>
      <c r="P209" s="157">
        <v>73899</v>
      </c>
      <c r="Q209" s="157">
        <v>52796</v>
      </c>
      <c r="R209" s="157">
        <v>11168</v>
      </c>
      <c r="S209" s="157">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57">
        <v>18088</v>
      </c>
      <c r="P210" s="157">
        <v>6333</v>
      </c>
      <c r="Q210" s="157">
        <v>2918</v>
      </c>
      <c r="R210" s="157">
        <v>233</v>
      </c>
      <c r="S210" s="157">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57">
        <v>88429</v>
      </c>
      <c r="P211" s="157">
        <v>24106</v>
      </c>
      <c r="Q211" s="157">
        <v>19113</v>
      </c>
      <c r="R211" s="157">
        <v>4327</v>
      </c>
      <c r="S211" s="157">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57">
        <v>269729</v>
      </c>
      <c r="P212" s="157">
        <v>40359</v>
      </c>
      <c r="Q212" s="157">
        <v>79613</v>
      </c>
      <c r="R212" s="157">
        <v>36937</v>
      </c>
      <c r="S212" s="157">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57">
        <v>9507</v>
      </c>
      <c r="P213" s="157">
        <v>3069</v>
      </c>
      <c r="Q213" s="157">
        <v>1828</v>
      </c>
      <c r="R213" s="157">
        <v>308</v>
      </c>
      <c r="S213" s="157">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57">
        <v>13818</v>
      </c>
      <c r="P214" s="157">
        <v>2647</v>
      </c>
      <c r="Q214" s="157">
        <v>2862</v>
      </c>
      <c r="R214" s="157">
        <v>1021</v>
      </c>
      <c r="S214" s="157">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57">
        <v>436242</v>
      </c>
      <c r="P215" s="157">
        <v>77866</v>
      </c>
      <c r="Q215" s="157">
        <v>113520</v>
      </c>
      <c r="R215" s="157">
        <v>80174</v>
      </c>
      <c r="S215" s="157">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57">
        <v>141546</v>
      </c>
      <c r="P216" s="157">
        <v>33624</v>
      </c>
      <c r="Q216" s="157">
        <v>30174</v>
      </c>
      <c r="R216" s="157">
        <v>11332</v>
      </c>
      <c r="S216" s="157">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57">
        <v>98190</v>
      </c>
      <c r="P217" s="157">
        <v>33078</v>
      </c>
      <c r="Q217" s="157">
        <v>16697</v>
      </c>
      <c r="R217" s="157">
        <v>1252</v>
      </c>
      <c r="S217" s="157">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57">
        <v>3161218</v>
      </c>
      <c r="P218" s="157">
        <v>604466</v>
      </c>
      <c r="Q218" s="157">
        <v>728580</v>
      </c>
      <c r="R218" s="157">
        <v>331979</v>
      </c>
      <c r="S218" s="157">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57">
        <v>370738</v>
      </c>
      <c r="P219" s="157">
        <v>92963</v>
      </c>
      <c r="Q219" s="157">
        <v>78707</v>
      </c>
      <c r="R219" s="157">
        <v>9998</v>
      </c>
      <c r="S219" s="157">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57">
        <v>19586</v>
      </c>
      <c r="P220" s="157">
        <v>7101</v>
      </c>
      <c r="Q220" s="157">
        <v>3236</v>
      </c>
      <c r="R220" s="157">
        <v>197</v>
      </c>
      <c r="S220" s="157">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57">
        <v>2329256</v>
      </c>
      <c r="P221" s="157">
        <v>437865</v>
      </c>
      <c r="Q221" s="157">
        <v>599727</v>
      </c>
      <c r="R221" s="157">
        <v>190180</v>
      </c>
      <c r="S221" s="157">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57">
        <v>1489952</v>
      </c>
      <c r="P222" s="157">
        <v>274958</v>
      </c>
      <c r="Q222" s="157">
        <v>360331</v>
      </c>
      <c r="R222" s="157">
        <v>93427</v>
      </c>
      <c r="S222" s="157">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57">
        <v>57584</v>
      </c>
      <c r="P223" s="157">
        <v>10257</v>
      </c>
      <c r="Q223" s="157">
        <v>14800</v>
      </c>
      <c r="R223" s="157">
        <v>5268</v>
      </c>
      <c r="S223" s="157">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57">
        <v>2129851</v>
      </c>
      <c r="P224" s="157">
        <v>332066</v>
      </c>
      <c r="Q224" s="157">
        <v>579387</v>
      </c>
      <c r="R224" s="157">
        <v>168647</v>
      </c>
      <c r="S224" s="157">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57">
        <v>3275084</v>
      </c>
      <c r="P225" s="157">
        <v>613778</v>
      </c>
      <c r="Q225" s="157">
        <v>772594</v>
      </c>
      <c r="R225" s="157">
        <v>231525</v>
      </c>
      <c r="S225" s="157">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57">
        <v>863108</v>
      </c>
      <c r="P226" s="157">
        <v>183363</v>
      </c>
      <c r="Q226" s="157">
        <v>121514</v>
      </c>
      <c r="R226" s="157">
        <v>100767</v>
      </c>
      <c r="S226" s="157">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57">
        <v>727547</v>
      </c>
      <c r="P227" s="157">
        <v>123054</v>
      </c>
      <c r="Q227" s="157">
        <v>198377</v>
      </c>
      <c r="R227" s="157">
        <v>63826</v>
      </c>
      <c r="S227" s="157">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57">
        <v>276844</v>
      </c>
      <c r="P228" s="157">
        <v>73091</v>
      </c>
      <c r="Q228" s="157">
        <v>49981</v>
      </c>
      <c r="R228" s="157">
        <v>10271</v>
      </c>
      <c r="S228" s="157">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57">
        <v>764379</v>
      </c>
      <c r="P229" s="157">
        <v>166867</v>
      </c>
      <c r="Q229" s="157">
        <v>161548</v>
      </c>
      <c r="R229" s="157">
        <v>58320</v>
      </c>
      <c r="S229" s="157">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57">
        <v>444900</v>
      </c>
      <c r="P230" s="157">
        <v>86387</v>
      </c>
      <c r="Q230" s="157">
        <v>100349</v>
      </c>
      <c r="R230" s="157">
        <v>48492</v>
      </c>
      <c r="S230" s="157">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57">
        <v>1915102</v>
      </c>
      <c r="P231" s="157">
        <v>350400</v>
      </c>
      <c r="Q231" s="157">
        <v>442255</v>
      </c>
      <c r="R231" s="157">
        <v>176469</v>
      </c>
      <c r="S231" s="157">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57">
        <v>274697</v>
      </c>
      <c r="P232" s="157">
        <v>58383</v>
      </c>
      <c r="Q232" s="157">
        <v>57881</v>
      </c>
      <c r="R232" s="157">
        <v>21297</v>
      </c>
      <c r="S232" s="157">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57">
        <v>178777</v>
      </c>
      <c r="P233" s="157">
        <v>47459</v>
      </c>
      <c r="Q233" s="157">
        <v>37929</v>
      </c>
      <c r="R233" s="157">
        <v>2477</v>
      </c>
      <c r="S233" s="157">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57">
        <v>3147</v>
      </c>
      <c r="P234" s="157">
        <v>1199</v>
      </c>
      <c r="Q234" s="157">
        <v>469</v>
      </c>
      <c r="R234" s="157">
        <v>36</v>
      </c>
      <c r="S234" s="157">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57">
        <v>44500</v>
      </c>
      <c r="P235" s="157">
        <v>14392</v>
      </c>
      <c r="Q235" s="157">
        <v>8777</v>
      </c>
      <c r="R235" s="157">
        <v>661</v>
      </c>
      <c r="S235" s="157">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57">
        <v>429267</v>
      </c>
      <c r="P236" s="157">
        <v>88191</v>
      </c>
      <c r="Q236" s="157">
        <v>100373</v>
      </c>
      <c r="R236" s="157">
        <v>21251</v>
      </c>
      <c r="S236" s="157">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57">
        <v>501182</v>
      </c>
      <c r="P237" s="157">
        <v>125873</v>
      </c>
      <c r="Q237" s="157">
        <v>99911</v>
      </c>
      <c r="R237" s="157">
        <v>29579</v>
      </c>
      <c r="S237" s="157">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57">
        <v>538372</v>
      </c>
      <c r="P238" s="157">
        <v>93026</v>
      </c>
      <c r="Q238" s="157">
        <v>144320</v>
      </c>
      <c r="R238" s="157">
        <v>48625</v>
      </c>
      <c r="S238" s="157">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57">
        <v>97618</v>
      </c>
      <c r="P239" s="157">
        <v>19092</v>
      </c>
      <c r="Q239" s="157">
        <v>25208</v>
      </c>
      <c r="R239" s="157">
        <v>8773</v>
      </c>
      <c r="S239" s="157">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57">
        <v>63970</v>
      </c>
      <c r="P240" s="157">
        <v>15536</v>
      </c>
      <c r="Q240" s="157">
        <v>15464</v>
      </c>
      <c r="R240" s="157">
        <v>2169</v>
      </c>
      <c r="S240" s="157">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57">
        <v>13562</v>
      </c>
      <c r="P241" s="157">
        <v>4842</v>
      </c>
      <c r="Q241" s="157">
        <v>2195</v>
      </c>
      <c r="R241" s="157">
        <v>100</v>
      </c>
      <c r="S241" s="157">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57">
        <v>463291</v>
      </c>
      <c r="P242" s="157">
        <v>71023</v>
      </c>
      <c r="Q242" s="157">
        <v>144018</v>
      </c>
      <c r="R242" s="157">
        <v>58345</v>
      </c>
      <c r="S242" s="157">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57">
        <v>54525</v>
      </c>
      <c r="P243" s="157">
        <v>18311</v>
      </c>
      <c r="Q243" s="157">
        <v>8920</v>
      </c>
      <c r="R243" s="157">
        <v>577</v>
      </c>
      <c r="S243" s="157">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57">
        <v>852013</v>
      </c>
      <c r="P244" s="157">
        <v>170129</v>
      </c>
      <c r="Q244" s="157">
        <v>201282</v>
      </c>
      <c r="R244" s="157">
        <v>85361</v>
      </c>
      <c r="S244" s="157">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57">
        <v>212686</v>
      </c>
      <c r="P245" s="157">
        <v>35269</v>
      </c>
      <c r="Q245" s="157">
        <v>47469</v>
      </c>
      <c r="R245" s="157">
        <v>13104</v>
      </c>
      <c r="S245" s="157">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57">
        <v>75579</v>
      </c>
      <c r="P246" s="157">
        <v>12715</v>
      </c>
      <c r="Q246" s="157">
        <v>21542</v>
      </c>
      <c r="R246" s="157">
        <v>3808</v>
      </c>
      <c r="S246" s="157">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57">
        <v>39354432</v>
      </c>
      <c r="P247" s="157">
        <v>7672542</v>
      </c>
      <c r="Q247" s="157">
        <v>9197902</v>
      </c>
      <c r="R247" s="157">
        <v>3750777</v>
      </c>
      <c r="S247" s="157">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57">
        <v>1637712</v>
      </c>
      <c r="P248" s="157">
        <v>316180</v>
      </c>
      <c r="Q248" s="157">
        <v>345421</v>
      </c>
      <c r="R248" s="157">
        <v>142005</v>
      </c>
      <c r="S248" s="157">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57">
        <v>1148</v>
      </c>
      <c r="P249" s="157">
        <v>378</v>
      </c>
      <c r="Q249" s="157">
        <v>208</v>
      </c>
      <c r="R249" s="157">
        <v>11</v>
      </c>
      <c r="S249" s="157">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57">
        <v>37191</v>
      </c>
      <c r="P250" s="157">
        <v>12901</v>
      </c>
      <c r="Q250" s="157">
        <v>5644</v>
      </c>
      <c r="R250" s="157">
        <v>570</v>
      </c>
      <c r="S250" s="157">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57">
        <v>225125</v>
      </c>
      <c r="P251" s="157">
        <v>55290</v>
      </c>
      <c r="Q251" s="157">
        <v>45620</v>
      </c>
      <c r="R251" s="157">
        <v>7445</v>
      </c>
      <c r="S251" s="157">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57">
        <v>44791</v>
      </c>
      <c r="P252" s="157">
        <v>16474</v>
      </c>
      <c r="Q252" s="157">
        <v>7363</v>
      </c>
      <c r="R252" s="157">
        <v>277</v>
      </c>
      <c r="S252" s="157">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57">
        <v>22408</v>
      </c>
      <c r="P253" s="157">
        <v>4434</v>
      </c>
      <c r="Q253" s="157">
        <v>6116</v>
      </c>
      <c r="R253" s="157">
        <v>2893</v>
      </c>
      <c r="S253" s="157">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57">
        <v>1129894</v>
      </c>
      <c r="P254" s="157">
        <v>247789</v>
      </c>
      <c r="Q254" s="157">
        <v>251595</v>
      </c>
      <c r="R254" s="157">
        <v>74586</v>
      </c>
      <c r="S254" s="157">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57">
        <v>27040</v>
      </c>
      <c r="P255" s="157">
        <v>6661</v>
      </c>
      <c r="Q255" s="157">
        <v>5824</v>
      </c>
      <c r="R255" s="157">
        <v>537</v>
      </c>
      <c r="S255" s="157">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57">
        <v>184180</v>
      </c>
      <c r="P256" s="157">
        <v>51087</v>
      </c>
      <c r="Q256" s="157">
        <v>36645</v>
      </c>
      <c r="R256" s="157">
        <v>3406</v>
      </c>
      <c r="S256" s="157">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57">
        <v>989183</v>
      </c>
      <c r="P257" s="157">
        <v>163512</v>
      </c>
      <c r="Q257" s="157">
        <v>279928</v>
      </c>
      <c r="R257" s="157">
        <v>112485</v>
      </c>
      <c r="S257" s="157">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57">
        <v>29073</v>
      </c>
      <c r="P258" s="157">
        <v>6207</v>
      </c>
      <c r="Q258" s="157">
        <v>7528</v>
      </c>
      <c r="R258" s="157">
        <v>2761</v>
      </c>
      <c r="S258" s="157">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57">
        <v>136086</v>
      </c>
      <c r="P259" s="157">
        <v>32838</v>
      </c>
      <c r="Q259" s="157">
        <v>27690</v>
      </c>
      <c r="R259" s="157">
        <v>2230</v>
      </c>
      <c r="S259" s="157">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57">
        <v>187157</v>
      </c>
      <c r="P260" s="157">
        <v>32050</v>
      </c>
      <c r="Q260" s="157">
        <v>54372</v>
      </c>
      <c r="R260" s="157">
        <v>34100</v>
      </c>
      <c r="S260" s="157">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57">
        <v>18649</v>
      </c>
      <c r="P261" s="157">
        <v>5699</v>
      </c>
      <c r="Q261" s="157">
        <v>3867</v>
      </c>
      <c r="R261" s="157">
        <v>451</v>
      </c>
      <c r="S261" s="157">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57">
        <v>888994</v>
      </c>
      <c r="P262" s="157">
        <v>136623</v>
      </c>
      <c r="Q262" s="157">
        <v>254735</v>
      </c>
      <c r="R262" s="157">
        <v>83111</v>
      </c>
      <c r="S262" s="157">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57">
        <v>149407</v>
      </c>
      <c r="P263" s="157">
        <v>21381</v>
      </c>
      <c r="Q263" s="157">
        <v>45432</v>
      </c>
      <c r="R263" s="157">
        <v>13525</v>
      </c>
      <c r="S263" s="157">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57">
        <v>65128</v>
      </c>
      <c r="P264" s="157">
        <v>19175</v>
      </c>
      <c r="Q264" s="157">
        <v>13526</v>
      </c>
      <c r="R264" s="157">
        <v>2348</v>
      </c>
      <c r="S264" s="157">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57">
        <v>30645</v>
      </c>
      <c r="P265" s="157">
        <v>6887</v>
      </c>
      <c r="Q265" s="157">
        <v>5308</v>
      </c>
      <c r="R265" s="157">
        <v>633</v>
      </c>
      <c r="S265" s="157">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57">
        <v>10229245</v>
      </c>
      <c r="P266" s="157">
        <v>1915495</v>
      </c>
      <c r="Q266" s="157">
        <v>2304521</v>
      </c>
      <c r="R266" s="157">
        <v>1343973</v>
      </c>
      <c r="S266" s="157">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57">
        <v>155693</v>
      </c>
      <c r="P267" s="157">
        <v>29376</v>
      </c>
      <c r="Q267" s="157">
        <v>42383</v>
      </c>
      <c r="R267" s="157">
        <v>19819</v>
      </c>
      <c r="S267" s="157">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57">
        <v>263257</v>
      </c>
      <c r="P268" s="157">
        <v>76036</v>
      </c>
      <c r="Q268" s="157">
        <v>52612</v>
      </c>
      <c r="R268" s="157">
        <v>10590</v>
      </c>
      <c r="S268" s="157">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57">
        <v>18055</v>
      </c>
      <c r="P269" s="157">
        <v>6483</v>
      </c>
      <c r="Q269" s="157">
        <v>2887</v>
      </c>
      <c r="R269" s="157">
        <v>193</v>
      </c>
      <c r="S269" s="157">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57">
        <v>88995</v>
      </c>
      <c r="P270" s="157">
        <v>24819</v>
      </c>
      <c r="Q270" s="157">
        <v>19104</v>
      </c>
      <c r="R270" s="157">
        <v>4384</v>
      </c>
      <c r="S270" s="157">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57">
        <v>272610</v>
      </c>
      <c r="P271" s="157">
        <v>41701</v>
      </c>
      <c r="Q271" s="157">
        <v>79762</v>
      </c>
      <c r="R271" s="157">
        <v>32600</v>
      </c>
      <c r="S271" s="157">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57">
        <v>9469</v>
      </c>
      <c r="P272" s="157">
        <v>3096</v>
      </c>
      <c r="Q272" s="157">
        <v>1807</v>
      </c>
      <c r="R272" s="157">
        <v>256</v>
      </c>
      <c r="S272" s="157">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57">
        <v>13785</v>
      </c>
      <c r="P273" s="157">
        <v>2795</v>
      </c>
      <c r="Q273" s="157">
        <v>2848</v>
      </c>
      <c r="R273" s="157">
        <v>1013</v>
      </c>
      <c r="S273" s="157">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57">
        <v>441129</v>
      </c>
      <c r="P274" s="157">
        <v>80555</v>
      </c>
      <c r="Q274" s="157">
        <v>114101</v>
      </c>
      <c r="R274" s="157">
        <v>82997</v>
      </c>
      <c r="S274" s="157">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57">
        <v>142269</v>
      </c>
      <c r="P275" s="157">
        <v>34640</v>
      </c>
      <c r="Q275" s="157">
        <v>29835</v>
      </c>
      <c r="R275" s="157">
        <v>11745</v>
      </c>
      <c r="S275" s="157">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57">
        <v>98552</v>
      </c>
      <c r="P276" s="157">
        <v>33995</v>
      </c>
      <c r="Q276" s="157">
        <v>16434</v>
      </c>
      <c r="R276" s="157">
        <v>1305</v>
      </c>
      <c r="S276" s="157">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57">
        <v>3181371</v>
      </c>
      <c r="P277" s="157">
        <v>627423</v>
      </c>
      <c r="Q277" s="157">
        <v>726521</v>
      </c>
      <c r="R277" s="157">
        <v>309974</v>
      </c>
      <c r="S277" s="157">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57">
        <v>376092</v>
      </c>
      <c r="P278" s="157">
        <v>96940</v>
      </c>
      <c r="Q278" s="157">
        <v>78000</v>
      </c>
      <c r="R278" s="157">
        <v>5842</v>
      </c>
      <c r="S278" s="157">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57">
        <v>19494</v>
      </c>
      <c r="P279" s="157">
        <v>7235</v>
      </c>
      <c r="Q279" s="157">
        <v>3171</v>
      </c>
      <c r="R279" s="157">
        <v>170</v>
      </c>
      <c r="S279" s="157">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57">
        <v>2360727</v>
      </c>
      <c r="P280" s="157">
        <v>456965</v>
      </c>
      <c r="Q280" s="157">
        <v>598756</v>
      </c>
      <c r="R280" s="157">
        <v>189787</v>
      </c>
      <c r="S280" s="157">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57">
        <v>1506677</v>
      </c>
      <c r="P281" s="157">
        <v>284940</v>
      </c>
      <c r="Q281" s="157">
        <v>361388</v>
      </c>
      <c r="R281" s="157">
        <v>94153</v>
      </c>
      <c r="S281" s="157">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57">
        <v>58014</v>
      </c>
      <c r="P282" s="157">
        <v>10729</v>
      </c>
      <c r="Q282" s="157">
        <v>14569</v>
      </c>
      <c r="R282" s="157">
        <v>5252</v>
      </c>
      <c r="S282" s="157">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57">
        <v>2147933</v>
      </c>
      <c r="P283" s="157">
        <v>346063</v>
      </c>
      <c r="Q283" s="157">
        <v>579219</v>
      </c>
      <c r="R283" s="157">
        <v>167271</v>
      </c>
      <c r="S283" s="157">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57">
        <v>3300891</v>
      </c>
      <c r="P284" s="157">
        <v>637060</v>
      </c>
      <c r="Q284" s="157">
        <v>780130</v>
      </c>
      <c r="R284" s="157">
        <v>238465</v>
      </c>
      <c r="S284" s="157">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57">
        <v>871185</v>
      </c>
      <c r="P285" s="157">
        <v>188417</v>
      </c>
      <c r="Q285" s="157">
        <v>124486</v>
      </c>
      <c r="R285" s="157">
        <v>99674</v>
      </c>
      <c r="S285" s="157">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57">
        <v>738873</v>
      </c>
      <c r="P286" s="157">
        <v>127720</v>
      </c>
      <c r="Q286" s="157">
        <v>199204</v>
      </c>
      <c r="R286" s="157">
        <v>60196</v>
      </c>
      <c r="S286" s="157">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57">
        <v>278917</v>
      </c>
      <c r="P287" s="157">
        <v>75907</v>
      </c>
      <c r="Q287" s="157">
        <v>49961</v>
      </c>
      <c r="R287" s="157">
        <v>10287</v>
      </c>
      <c r="S287" s="157">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57">
        <v>768122</v>
      </c>
      <c r="P288" s="157">
        <v>171899</v>
      </c>
      <c r="Q288" s="157">
        <v>161747</v>
      </c>
      <c r="R288" s="157">
        <v>54522</v>
      </c>
      <c r="S288" s="157">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57">
        <v>448353</v>
      </c>
      <c r="P289" s="157">
        <v>89021</v>
      </c>
      <c r="Q289" s="157">
        <v>100705</v>
      </c>
      <c r="R289" s="157">
        <v>51832</v>
      </c>
      <c r="S289" s="157">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57">
        <v>1930215</v>
      </c>
      <c r="P290" s="157">
        <v>364511</v>
      </c>
      <c r="Q290" s="157">
        <v>442750</v>
      </c>
      <c r="R290" s="157">
        <v>167482</v>
      </c>
      <c r="S290" s="157">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57">
        <v>276249</v>
      </c>
      <c r="P291" s="157">
        <v>60888</v>
      </c>
      <c r="Q291" s="157">
        <v>57974</v>
      </c>
      <c r="R291" s="157">
        <v>20762</v>
      </c>
      <c r="S291" s="157">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57">
        <v>178208</v>
      </c>
      <c r="P292" s="157">
        <v>48189</v>
      </c>
      <c r="Q292" s="157">
        <v>37658</v>
      </c>
      <c r="R292" s="157">
        <v>1963</v>
      </c>
      <c r="S292" s="157">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57">
        <v>3140</v>
      </c>
      <c r="P293" s="157">
        <v>1228</v>
      </c>
      <c r="Q293" s="157">
        <v>465</v>
      </c>
      <c r="R293" s="157">
        <v>35</v>
      </c>
      <c r="S293" s="157">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57">
        <v>44372</v>
      </c>
      <c r="P294" s="157">
        <v>14672</v>
      </c>
      <c r="Q294" s="157">
        <v>8676</v>
      </c>
      <c r="R294" s="157">
        <v>755</v>
      </c>
      <c r="S294" s="157">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57">
        <v>434102</v>
      </c>
      <c r="P295" s="157">
        <v>92321</v>
      </c>
      <c r="Q295" s="157">
        <v>100398</v>
      </c>
      <c r="R295" s="157">
        <v>22558</v>
      </c>
      <c r="S295" s="157">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57">
        <v>503953</v>
      </c>
      <c r="P296" s="157">
        <v>130857</v>
      </c>
      <c r="Q296" s="157">
        <v>98968</v>
      </c>
      <c r="R296" s="157">
        <v>26781</v>
      </c>
      <c r="S296" s="157">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57">
        <v>545008</v>
      </c>
      <c r="P297" s="157">
        <v>96403</v>
      </c>
      <c r="Q297" s="157">
        <v>145017</v>
      </c>
      <c r="R297" s="157">
        <v>53504</v>
      </c>
      <c r="S297" s="157">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57">
        <v>98191</v>
      </c>
      <c r="P298" s="157">
        <v>19553</v>
      </c>
      <c r="Q298" s="157">
        <v>25175</v>
      </c>
      <c r="R298" s="157">
        <v>9121</v>
      </c>
      <c r="S298" s="157">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57">
        <v>64098</v>
      </c>
      <c r="P299" s="157">
        <v>15747</v>
      </c>
      <c r="Q299" s="157">
        <v>15435</v>
      </c>
      <c r="R299" s="157">
        <v>2385</v>
      </c>
      <c r="S299" s="157">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57">
        <v>13482</v>
      </c>
      <c r="P300" s="157">
        <v>4929</v>
      </c>
      <c r="Q300" s="157">
        <v>2167</v>
      </c>
      <c r="R300" s="157">
        <v>105</v>
      </c>
      <c r="S300" s="157">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57">
        <v>468235</v>
      </c>
      <c r="P301" s="157">
        <v>73460</v>
      </c>
      <c r="Q301" s="157">
        <v>144339</v>
      </c>
      <c r="R301" s="157">
        <v>66725</v>
      </c>
      <c r="S301" s="157">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57">
        <v>54282</v>
      </c>
      <c r="P302" s="157">
        <v>18652</v>
      </c>
      <c r="Q302" s="157">
        <v>8734</v>
      </c>
      <c r="R302" s="157">
        <v>483</v>
      </c>
      <c r="S302" s="157">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57">
        <v>854383</v>
      </c>
      <c r="P303" s="157">
        <v>176546</v>
      </c>
      <c r="Q303" s="157">
        <v>199303</v>
      </c>
      <c r="R303" s="157">
        <v>82290</v>
      </c>
      <c r="S303" s="157">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57">
        <v>216866</v>
      </c>
      <c r="P304" s="157">
        <v>36568</v>
      </c>
      <c r="Q304" s="157">
        <v>48381</v>
      </c>
      <c r="R304" s="157">
        <v>12693</v>
      </c>
      <c r="S304" s="157">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57">
        <v>76129</v>
      </c>
      <c r="P305" s="157">
        <v>13142</v>
      </c>
      <c r="Q305" s="157">
        <v>21489</v>
      </c>
      <c r="R305" s="157">
        <v>3461</v>
      </c>
      <c r="S305" s="157">
        <v>3704</v>
      </c>
      <c r="T305" s="19">
        <v>8.5000000000000006E-2</v>
      </c>
      <c r="U305" s="53">
        <v>14544.35772</v>
      </c>
    </row>
    <row r="306" spans="1:21">
      <c r="A306" s="56" t="s">
        <v>183</v>
      </c>
      <c r="B306" s="14" t="s">
        <v>66</v>
      </c>
      <c r="C306" s="14">
        <v>2017</v>
      </c>
      <c r="D306" s="14" t="s">
        <v>265</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57">
        <v>39693627</v>
      </c>
      <c r="P306" s="157">
        <v>7958547</v>
      </c>
      <c r="Q306" s="157">
        <v>9203689</v>
      </c>
      <c r="R306" s="157"/>
      <c r="S306" s="157">
        <v>1154343</v>
      </c>
      <c r="T306" s="19"/>
      <c r="U306" s="53"/>
    </row>
    <row r="307" spans="1:21" s="106" customFormat="1">
      <c r="A307" s="56" t="s">
        <v>184</v>
      </c>
      <c r="B307" s="14" t="s">
        <v>77</v>
      </c>
      <c r="C307" s="14">
        <v>2017</v>
      </c>
      <c r="D307" s="14" t="s">
        <v>265</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57">
        <v>1655752</v>
      </c>
      <c r="P307" s="157">
        <v>328261</v>
      </c>
      <c r="Q307" s="157">
        <v>346873</v>
      </c>
      <c r="R307" s="157"/>
      <c r="S307" s="157">
        <v>45115</v>
      </c>
      <c r="T307" s="19"/>
      <c r="U307" s="53"/>
    </row>
    <row r="308" spans="1:21" s="106" customFormat="1">
      <c r="A308" s="56" t="s">
        <v>185</v>
      </c>
      <c r="B308" s="14" t="s">
        <v>78</v>
      </c>
      <c r="C308" s="14">
        <v>2017</v>
      </c>
      <c r="D308" s="14" t="s">
        <v>265</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57">
        <v>1143</v>
      </c>
      <c r="P308" s="157">
        <v>398</v>
      </c>
      <c r="Q308" s="157">
        <v>198</v>
      </c>
      <c r="R308" s="157"/>
      <c r="S308" s="157">
        <v>36</v>
      </c>
      <c r="T308" s="19"/>
      <c r="U308" s="53"/>
    </row>
    <row r="309" spans="1:21" s="106" customFormat="1">
      <c r="A309" s="56" t="s">
        <v>186</v>
      </c>
      <c r="B309" s="14" t="s">
        <v>78</v>
      </c>
      <c r="C309" s="14">
        <v>2017</v>
      </c>
      <c r="D309" s="14" t="s">
        <v>265</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57">
        <v>37267</v>
      </c>
      <c r="P309" s="157">
        <v>13105</v>
      </c>
      <c r="Q309" s="157">
        <v>5607</v>
      </c>
      <c r="R309" s="157"/>
      <c r="S309" s="157">
        <v>672</v>
      </c>
      <c r="T309" s="19"/>
      <c r="U309" s="53"/>
    </row>
    <row r="310" spans="1:21" s="106" customFormat="1">
      <c r="A310" s="56" t="s">
        <v>187</v>
      </c>
      <c r="B310" s="14" t="s">
        <v>78</v>
      </c>
      <c r="C310" s="14">
        <v>2017</v>
      </c>
      <c r="D310" s="14" t="s">
        <v>265</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57">
        <v>226478</v>
      </c>
      <c r="P310" s="157">
        <v>56416</v>
      </c>
      <c r="Q310" s="157">
        <v>45689</v>
      </c>
      <c r="R310" s="157"/>
      <c r="S310" s="157">
        <v>10378</v>
      </c>
      <c r="T310" s="19"/>
      <c r="U310" s="53"/>
    </row>
    <row r="311" spans="1:21" s="106" customFormat="1">
      <c r="A311" s="56" t="s">
        <v>188</v>
      </c>
      <c r="B311" s="14" t="s">
        <v>78</v>
      </c>
      <c r="C311" s="14">
        <v>2017</v>
      </c>
      <c r="D311" s="14" t="s">
        <v>265</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57">
        <v>44818</v>
      </c>
      <c r="P311" s="157">
        <v>16898</v>
      </c>
      <c r="Q311" s="157">
        <v>7251</v>
      </c>
      <c r="R311" s="157"/>
      <c r="S311" s="157">
        <v>988</v>
      </c>
      <c r="T311" s="19"/>
      <c r="U311" s="53"/>
    </row>
    <row r="312" spans="1:21" s="106" customFormat="1">
      <c r="A312" s="56" t="s">
        <v>189</v>
      </c>
      <c r="B312" s="14" t="s">
        <v>78</v>
      </c>
      <c r="C312" s="14">
        <v>2017</v>
      </c>
      <c r="D312" s="14" t="s">
        <v>265</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57">
        <v>22612</v>
      </c>
      <c r="P312" s="157">
        <v>4594</v>
      </c>
      <c r="Q312" s="157">
        <v>6120</v>
      </c>
      <c r="R312" s="157"/>
      <c r="S312" s="157">
        <v>564</v>
      </c>
      <c r="T312" s="19"/>
      <c r="U312" s="53"/>
    </row>
    <row r="313" spans="1:21" s="106" customFormat="1">
      <c r="A313" s="56" t="s">
        <v>190</v>
      </c>
      <c r="B313" s="14" t="s">
        <v>77</v>
      </c>
      <c r="C313" s="14">
        <v>2017</v>
      </c>
      <c r="D313" s="14" t="s">
        <v>265</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57">
        <v>1143494</v>
      </c>
      <c r="P313" s="157">
        <v>258293</v>
      </c>
      <c r="Q313" s="157">
        <v>251140</v>
      </c>
      <c r="R313" s="157"/>
      <c r="S313" s="157">
        <v>23320</v>
      </c>
      <c r="T313" s="19"/>
      <c r="U313" s="53"/>
    </row>
    <row r="314" spans="1:21" s="106" customFormat="1">
      <c r="A314" s="56" t="s">
        <v>191</v>
      </c>
      <c r="B314" s="14" t="s">
        <v>78</v>
      </c>
      <c r="C314" s="14">
        <v>2017</v>
      </c>
      <c r="D314" s="14" t="s">
        <v>265</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57">
        <v>27063</v>
      </c>
      <c r="P314" s="157">
        <v>6800</v>
      </c>
      <c r="Q314" s="157">
        <v>5811</v>
      </c>
      <c r="R314" s="157"/>
      <c r="S314" s="157">
        <v>1715</v>
      </c>
      <c r="T314" s="19"/>
      <c r="U314" s="53"/>
    </row>
    <row r="315" spans="1:21" s="106" customFormat="1">
      <c r="A315" s="56" t="s">
        <v>192</v>
      </c>
      <c r="B315" s="14" t="s">
        <v>78</v>
      </c>
      <c r="C315" s="14">
        <v>2017</v>
      </c>
      <c r="D315" s="14" t="s">
        <v>265</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57">
        <v>185090</v>
      </c>
      <c r="P315" s="157">
        <v>53135</v>
      </c>
      <c r="Q315" s="157">
        <v>36164</v>
      </c>
      <c r="R315" s="157"/>
      <c r="S315" s="157">
        <v>2823</v>
      </c>
      <c r="T315" s="19"/>
      <c r="U315" s="53"/>
    </row>
    <row r="316" spans="1:21" s="106" customFormat="1">
      <c r="A316" s="106" t="s">
        <v>134</v>
      </c>
      <c r="B316" s="14" t="s">
        <v>77</v>
      </c>
      <c r="C316" s="14">
        <v>2017</v>
      </c>
      <c r="D316" s="14" t="s">
        <v>265</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57">
        <v>999902</v>
      </c>
      <c r="P316" s="157">
        <v>169283</v>
      </c>
      <c r="Q316" s="157">
        <v>280718</v>
      </c>
      <c r="R316" s="157"/>
      <c r="S316" s="157">
        <v>41278</v>
      </c>
      <c r="T316" s="19"/>
      <c r="U316" s="53"/>
    </row>
    <row r="317" spans="1:21" s="106" customFormat="1">
      <c r="A317" s="106" t="s">
        <v>135</v>
      </c>
      <c r="B317" s="14" t="s">
        <v>78</v>
      </c>
      <c r="C317" s="14">
        <v>2017</v>
      </c>
      <c r="D317" s="14" t="s">
        <v>265</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57">
        <v>29204</v>
      </c>
      <c r="P317" s="157">
        <v>6352</v>
      </c>
      <c r="Q317" s="157">
        <v>7482</v>
      </c>
      <c r="R317" s="157"/>
      <c r="S317" s="157">
        <v>1061</v>
      </c>
      <c r="T317" s="19"/>
      <c r="U317" s="53"/>
    </row>
    <row r="318" spans="1:21" s="106" customFormat="1">
      <c r="A318" s="106" t="s">
        <v>136</v>
      </c>
      <c r="B318" s="14" t="s">
        <v>78</v>
      </c>
      <c r="C318" s="14">
        <v>2017</v>
      </c>
      <c r="D318" s="14" t="s">
        <v>265</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57">
        <v>136835</v>
      </c>
      <c r="P318" s="157">
        <v>33792</v>
      </c>
      <c r="Q318" s="157">
        <v>27901</v>
      </c>
      <c r="R318" s="157"/>
      <c r="S318" s="157">
        <v>5236</v>
      </c>
      <c r="T318" s="19"/>
      <c r="U318" s="53"/>
    </row>
    <row r="319" spans="1:21" s="106" customFormat="1">
      <c r="A319" s="106" t="s">
        <v>137</v>
      </c>
      <c r="B319" s="14" t="s">
        <v>78</v>
      </c>
      <c r="C319" s="14">
        <v>2017</v>
      </c>
      <c r="D319" s="14" t="s">
        <v>265</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57">
        <v>189376</v>
      </c>
      <c r="P319" s="157">
        <v>33277</v>
      </c>
      <c r="Q319" s="157">
        <v>54792</v>
      </c>
      <c r="R319" s="157"/>
      <c r="S319" s="157">
        <v>9988</v>
      </c>
      <c r="T319" s="19"/>
      <c r="U319" s="53"/>
    </row>
    <row r="320" spans="1:21" s="106" customFormat="1">
      <c r="A320" s="106" t="s">
        <v>138</v>
      </c>
      <c r="B320" s="14" t="s">
        <v>78</v>
      </c>
      <c r="C320" s="14">
        <v>2017</v>
      </c>
      <c r="D320" s="14" t="s">
        <v>265</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57">
        <v>18693</v>
      </c>
      <c r="P320" s="157">
        <v>5837</v>
      </c>
      <c r="Q320" s="157">
        <v>3868</v>
      </c>
      <c r="R320" s="157"/>
      <c r="S320" s="157">
        <v>366</v>
      </c>
      <c r="T320" s="19"/>
      <c r="U320" s="53"/>
    </row>
    <row r="321" spans="1:21" s="106" customFormat="1">
      <c r="A321" s="106" t="s">
        <v>139</v>
      </c>
      <c r="B321" s="14" t="s">
        <v>78</v>
      </c>
      <c r="C321" s="14">
        <v>2017</v>
      </c>
      <c r="D321" s="14" t="s">
        <v>265</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57">
        <v>897727</v>
      </c>
      <c r="P321" s="157">
        <v>141680</v>
      </c>
      <c r="Q321" s="157">
        <v>255195</v>
      </c>
      <c r="R321" s="157"/>
      <c r="S321" s="157">
        <v>30862</v>
      </c>
      <c r="T321" s="19"/>
      <c r="U321" s="53"/>
    </row>
    <row r="322" spans="1:21" s="106" customFormat="1">
      <c r="A322" s="106" t="s">
        <v>140</v>
      </c>
      <c r="B322" s="14" t="s">
        <v>78</v>
      </c>
      <c r="C322" s="14">
        <v>2017</v>
      </c>
      <c r="D322" s="14" t="s">
        <v>265</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57">
        <v>150441</v>
      </c>
      <c r="P322" s="157">
        <v>22007</v>
      </c>
      <c r="Q322" s="157">
        <v>45775</v>
      </c>
      <c r="R322" s="157"/>
      <c r="S322" s="157">
        <v>4586</v>
      </c>
      <c r="T322" s="19"/>
      <c r="U322" s="53"/>
    </row>
    <row r="323" spans="1:21" s="106" customFormat="1">
      <c r="A323" s="106" t="s">
        <v>141</v>
      </c>
      <c r="B323" s="14" t="s">
        <v>78</v>
      </c>
      <c r="C323" s="14">
        <v>2017</v>
      </c>
      <c r="D323" s="14" t="s">
        <v>265</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57">
        <v>65161</v>
      </c>
      <c r="P323" s="157">
        <v>19552</v>
      </c>
      <c r="Q323" s="157">
        <v>13580</v>
      </c>
      <c r="R323" s="157"/>
      <c r="S323" s="157">
        <v>3576</v>
      </c>
      <c r="T323" s="19"/>
      <c r="U323" s="53"/>
    </row>
    <row r="324" spans="1:21" s="106" customFormat="1">
      <c r="A324" s="106" t="s">
        <v>142</v>
      </c>
      <c r="B324" s="14" t="s">
        <v>78</v>
      </c>
      <c r="C324" s="14">
        <v>2017</v>
      </c>
      <c r="D324" s="14" t="s">
        <v>265</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57">
        <v>30652</v>
      </c>
      <c r="P324" s="157">
        <v>7058</v>
      </c>
      <c r="Q324" s="157">
        <v>5289</v>
      </c>
      <c r="R324" s="157"/>
      <c r="S324" s="157">
        <v>905</v>
      </c>
      <c r="T324" s="19"/>
      <c r="U324" s="53"/>
    </row>
    <row r="325" spans="1:21" s="106" customFormat="1">
      <c r="A325" s="106" t="s">
        <v>143</v>
      </c>
      <c r="B325" s="14" t="s">
        <v>79</v>
      </c>
      <c r="C325" s="14">
        <v>2017</v>
      </c>
      <c r="D325" s="14" t="s">
        <v>265</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57">
        <v>10288515</v>
      </c>
      <c r="P325" s="157">
        <v>1987419</v>
      </c>
      <c r="Q325" s="157">
        <v>2295832</v>
      </c>
      <c r="R325" s="157"/>
      <c r="S325" s="157">
        <v>374280</v>
      </c>
      <c r="T325" s="19"/>
      <c r="U325" s="53"/>
    </row>
    <row r="326" spans="1:21" s="106" customFormat="1">
      <c r="A326" s="106" t="s">
        <v>144</v>
      </c>
      <c r="B326" s="14" t="s">
        <v>78</v>
      </c>
      <c r="C326" s="14">
        <v>2017</v>
      </c>
      <c r="D326" s="14" t="s">
        <v>265</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57">
        <v>157296</v>
      </c>
      <c r="P326" s="157">
        <v>30181</v>
      </c>
      <c r="Q326" s="157">
        <v>42323</v>
      </c>
      <c r="R326" s="157"/>
      <c r="S326" s="157">
        <v>4467</v>
      </c>
      <c r="T326" s="19"/>
      <c r="U326" s="53"/>
    </row>
    <row r="327" spans="1:21" s="106" customFormat="1">
      <c r="A327" s="106" t="s">
        <v>145</v>
      </c>
      <c r="B327" s="14" t="s">
        <v>78</v>
      </c>
      <c r="C327" s="14">
        <v>2017</v>
      </c>
      <c r="D327" s="14" t="s">
        <v>265</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57">
        <v>264413</v>
      </c>
      <c r="P327" s="157">
        <v>78078</v>
      </c>
      <c r="Q327" s="157">
        <v>52532</v>
      </c>
      <c r="R327" s="157"/>
      <c r="S327" s="157">
        <v>2720</v>
      </c>
      <c r="T327" s="19"/>
      <c r="U327" s="53"/>
    </row>
    <row r="328" spans="1:21" s="106" customFormat="1">
      <c r="A328" s="106" t="s">
        <v>146</v>
      </c>
      <c r="B328" s="14" t="s">
        <v>78</v>
      </c>
      <c r="C328" s="14">
        <v>2017</v>
      </c>
      <c r="D328" s="14" t="s">
        <v>265</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57">
        <v>18058</v>
      </c>
      <c r="P328" s="157">
        <v>6658</v>
      </c>
      <c r="Q328" s="157">
        <v>2863</v>
      </c>
      <c r="R328" s="157"/>
      <c r="S328" s="157">
        <v>426</v>
      </c>
      <c r="T328" s="19"/>
      <c r="U328" s="53"/>
    </row>
    <row r="329" spans="1:21" s="106" customFormat="1">
      <c r="A329" s="106" t="s">
        <v>147</v>
      </c>
      <c r="B329" s="14" t="s">
        <v>78</v>
      </c>
      <c r="C329" s="14">
        <v>2017</v>
      </c>
      <c r="D329" s="14" t="s">
        <v>265</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57">
        <v>89329</v>
      </c>
      <c r="P329" s="157">
        <v>25395</v>
      </c>
      <c r="Q329" s="157">
        <v>19116</v>
      </c>
      <c r="R329" s="157"/>
      <c r="S329" s="157">
        <v>3031</v>
      </c>
      <c r="T329" s="19"/>
      <c r="U329" s="53"/>
    </row>
    <row r="330" spans="1:21" s="106" customFormat="1">
      <c r="A330" s="106" t="s">
        <v>148</v>
      </c>
      <c r="B330" s="14" t="s">
        <v>78</v>
      </c>
      <c r="C330" s="14">
        <v>2017</v>
      </c>
      <c r="D330" s="14" t="s">
        <v>265</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57">
        <v>275926</v>
      </c>
      <c r="P330" s="157">
        <v>43155</v>
      </c>
      <c r="Q330" s="157">
        <v>79909</v>
      </c>
      <c r="R330" s="157"/>
      <c r="S330" s="157">
        <v>10549</v>
      </c>
      <c r="T330" s="19"/>
      <c r="U330" s="53"/>
    </row>
    <row r="331" spans="1:21" s="106" customFormat="1">
      <c r="A331" s="106" t="s">
        <v>149</v>
      </c>
      <c r="B331" s="14" t="s">
        <v>78</v>
      </c>
      <c r="C331" s="14">
        <v>2017</v>
      </c>
      <c r="D331" s="14" t="s">
        <v>265</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57">
        <v>9431</v>
      </c>
      <c r="P331" s="157">
        <v>3135</v>
      </c>
      <c r="Q331" s="157">
        <v>1781</v>
      </c>
      <c r="R331" s="157"/>
      <c r="S331" s="157">
        <v>410</v>
      </c>
      <c r="T331" s="19"/>
      <c r="U331" s="53"/>
    </row>
    <row r="332" spans="1:21" s="106" customFormat="1">
      <c r="A332" s="106" t="s">
        <v>150</v>
      </c>
      <c r="B332" s="14" t="s">
        <v>78</v>
      </c>
      <c r="C332" s="14">
        <v>2017</v>
      </c>
      <c r="D332" s="14" t="s">
        <v>265</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57">
        <v>13827</v>
      </c>
      <c r="P332" s="157">
        <v>2967</v>
      </c>
      <c r="Q332" s="157">
        <v>2836</v>
      </c>
      <c r="R332" s="157"/>
      <c r="S332" s="157">
        <v>97</v>
      </c>
      <c r="T332" s="19"/>
      <c r="U332" s="53"/>
    </row>
    <row r="333" spans="1:21" s="106" customFormat="1">
      <c r="A333" s="106" t="s">
        <v>151</v>
      </c>
      <c r="B333" s="14" t="s">
        <v>78</v>
      </c>
      <c r="C333" s="14">
        <v>2017</v>
      </c>
      <c r="D333" s="14" t="s">
        <v>265</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57">
        <v>445408</v>
      </c>
      <c r="P333" s="157">
        <v>83304</v>
      </c>
      <c r="Q333" s="157">
        <v>114577</v>
      </c>
      <c r="R333" s="157"/>
      <c r="S333" s="157">
        <v>7831</v>
      </c>
      <c r="T333" s="19"/>
      <c r="U333" s="53"/>
    </row>
    <row r="334" spans="1:21" s="106" customFormat="1">
      <c r="A334" s="106" t="s">
        <v>152</v>
      </c>
      <c r="B334" s="14" t="s">
        <v>78</v>
      </c>
      <c r="C334" s="14">
        <v>2017</v>
      </c>
      <c r="D334" s="14" t="s">
        <v>265</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57">
        <v>142898</v>
      </c>
      <c r="P334" s="157">
        <v>35591</v>
      </c>
      <c r="Q334" s="157">
        <v>29466</v>
      </c>
      <c r="R334" s="157"/>
      <c r="S334" s="157">
        <v>1970</v>
      </c>
      <c r="T334" s="19"/>
      <c r="U334" s="53"/>
    </row>
    <row r="335" spans="1:21" s="106" customFormat="1">
      <c r="A335" s="106" t="s">
        <v>153</v>
      </c>
      <c r="B335" s="14" t="s">
        <v>78</v>
      </c>
      <c r="C335" s="14">
        <v>2017</v>
      </c>
      <c r="D335" s="14" t="s">
        <v>265</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57">
        <v>98847</v>
      </c>
      <c r="P335" s="157">
        <v>34886</v>
      </c>
      <c r="Q335" s="157">
        <v>16217</v>
      </c>
      <c r="R335" s="157"/>
      <c r="S335" s="157">
        <v>1868</v>
      </c>
      <c r="T335" s="19"/>
      <c r="U335" s="53"/>
    </row>
    <row r="336" spans="1:21" s="106" customFormat="1">
      <c r="A336" s="106" t="s">
        <v>154</v>
      </c>
      <c r="B336" s="14" t="s">
        <v>77</v>
      </c>
      <c r="C336" s="14">
        <v>2017</v>
      </c>
      <c r="D336" s="14" t="s">
        <v>265</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57">
        <v>3201395</v>
      </c>
      <c r="P336" s="157">
        <v>650820</v>
      </c>
      <c r="Q336" s="157">
        <v>723961</v>
      </c>
      <c r="R336" s="157"/>
      <c r="S336" s="157">
        <v>67526</v>
      </c>
      <c r="T336" s="19"/>
      <c r="U336" s="53"/>
    </row>
    <row r="337" spans="1:21" s="106" customFormat="1">
      <c r="A337" s="106" t="s">
        <v>155</v>
      </c>
      <c r="B337" s="14" t="s">
        <v>77</v>
      </c>
      <c r="C337" s="14">
        <v>2017</v>
      </c>
      <c r="D337" s="14" t="s">
        <v>265</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57">
        <v>380976</v>
      </c>
      <c r="P337" s="157">
        <v>100816</v>
      </c>
      <c r="Q337" s="157">
        <v>77003</v>
      </c>
      <c r="R337" s="157"/>
      <c r="S337" s="157">
        <v>5003</v>
      </c>
      <c r="T337" s="19"/>
      <c r="U337" s="53"/>
    </row>
    <row r="338" spans="1:21" s="106" customFormat="1">
      <c r="A338" s="106" t="s">
        <v>156</v>
      </c>
      <c r="B338" s="14" t="s">
        <v>78</v>
      </c>
      <c r="C338" s="14">
        <v>2017</v>
      </c>
      <c r="D338" s="14" t="s">
        <v>265</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57">
        <v>19434</v>
      </c>
      <c r="P338" s="157">
        <v>7402</v>
      </c>
      <c r="Q338" s="157">
        <v>3174</v>
      </c>
      <c r="R338" s="157"/>
      <c r="S338" s="157">
        <v>633</v>
      </c>
      <c r="T338" s="19"/>
      <c r="U338" s="53"/>
    </row>
    <row r="339" spans="1:21" s="106" customFormat="1">
      <c r="A339" s="106" t="s">
        <v>157</v>
      </c>
      <c r="B339" s="14" t="s">
        <v>78</v>
      </c>
      <c r="C339" s="14">
        <v>2017</v>
      </c>
      <c r="D339" s="14" t="s">
        <v>265</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57">
        <v>2395487</v>
      </c>
      <c r="P339" s="157">
        <v>477592</v>
      </c>
      <c r="Q339" s="157">
        <v>598978</v>
      </c>
      <c r="R339" s="157"/>
      <c r="S339" s="157">
        <v>58028</v>
      </c>
      <c r="T339" s="19"/>
      <c r="U339" s="53"/>
    </row>
    <row r="340" spans="1:21" s="106" customFormat="1">
      <c r="A340" s="106" t="s">
        <v>158</v>
      </c>
      <c r="B340" s="14" t="s">
        <v>77</v>
      </c>
      <c r="C340" s="14">
        <v>2017</v>
      </c>
      <c r="D340" s="14" t="s">
        <v>265</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57">
        <v>1524524</v>
      </c>
      <c r="P340" s="157">
        <v>295548</v>
      </c>
      <c r="Q340" s="157">
        <v>362411</v>
      </c>
      <c r="R340" s="157"/>
      <c r="S340" s="157">
        <v>61582</v>
      </c>
      <c r="T340" s="19"/>
      <c r="U340" s="53"/>
    </row>
    <row r="341" spans="1:21" s="106" customFormat="1">
      <c r="A341" s="106" t="s">
        <v>159</v>
      </c>
      <c r="B341" s="14" t="s">
        <v>78</v>
      </c>
      <c r="C341" s="14">
        <v>2017</v>
      </c>
      <c r="D341" s="14" t="s">
        <v>265</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57">
        <v>58519</v>
      </c>
      <c r="P341" s="157">
        <v>11234</v>
      </c>
      <c r="Q341" s="157">
        <v>14439</v>
      </c>
      <c r="R341" s="157"/>
      <c r="S341" s="157">
        <v>874</v>
      </c>
      <c r="T341" s="19"/>
      <c r="U341" s="53"/>
    </row>
    <row r="342" spans="1:21" s="106" customFormat="1">
      <c r="A342" s="106" t="s">
        <v>160</v>
      </c>
      <c r="B342" s="14" t="s">
        <v>78</v>
      </c>
      <c r="C342" s="14">
        <v>2017</v>
      </c>
      <c r="D342" s="14" t="s">
        <v>265</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57">
        <v>2168360</v>
      </c>
      <c r="P342" s="157">
        <v>360581</v>
      </c>
      <c r="Q342" s="157">
        <v>579729</v>
      </c>
      <c r="R342" s="157"/>
      <c r="S342" s="157">
        <v>66585</v>
      </c>
      <c r="T342" s="19"/>
      <c r="U342" s="53"/>
    </row>
    <row r="343" spans="1:21" s="106" customFormat="1">
      <c r="A343" s="106" t="s">
        <v>161</v>
      </c>
      <c r="B343" s="14" t="s">
        <v>77</v>
      </c>
      <c r="C343" s="14">
        <v>2017</v>
      </c>
      <c r="D343" s="14" t="s">
        <v>265</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57">
        <v>3327562</v>
      </c>
      <c r="P343" s="157">
        <v>660989</v>
      </c>
      <c r="Q343" s="157">
        <v>787752</v>
      </c>
      <c r="R343" s="157"/>
      <c r="S343" s="157">
        <v>74300</v>
      </c>
      <c r="T343" s="19"/>
      <c r="U343" s="53"/>
    </row>
    <row r="344" spans="1:21" s="106" customFormat="1">
      <c r="A344" s="106" t="s">
        <v>162</v>
      </c>
      <c r="B344" s="14" t="s">
        <v>77</v>
      </c>
      <c r="C344" s="14">
        <v>2017</v>
      </c>
      <c r="D344" s="14" t="s">
        <v>265</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57">
        <v>879517</v>
      </c>
      <c r="P344" s="157">
        <v>193624</v>
      </c>
      <c r="Q344" s="157">
        <v>127629</v>
      </c>
      <c r="R344" s="157"/>
      <c r="S344" s="157">
        <v>35747</v>
      </c>
      <c r="T344" s="19"/>
      <c r="U344" s="53"/>
    </row>
    <row r="345" spans="1:21" s="106" customFormat="1">
      <c r="A345" s="106" t="s">
        <v>163</v>
      </c>
      <c r="B345" s="14" t="s">
        <v>78</v>
      </c>
      <c r="C345" s="14">
        <v>2017</v>
      </c>
      <c r="D345" s="14" t="s">
        <v>265</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57">
        <v>750002</v>
      </c>
      <c r="P345" s="157">
        <v>132452</v>
      </c>
      <c r="Q345" s="157">
        <v>200170</v>
      </c>
      <c r="R345" s="157"/>
      <c r="S345" s="157">
        <v>26463</v>
      </c>
      <c r="T345" s="19"/>
      <c r="U345" s="53"/>
    </row>
    <row r="346" spans="1:21" s="106" customFormat="1">
      <c r="A346" s="106" t="s">
        <v>164</v>
      </c>
      <c r="B346" s="14" t="s">
        <v>77</v>
      </c>
      <c r="C346" s="14">
        <v>2017</v>
      </c>
      <c r="D346" s="14" t="s">
        <v>265</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57">
        <v>280822</v>
      </c>
      <c r="P346" s="157">
        <v>78771</v>
      </c>
      <c r="Q346" s="157">
        <v>50028</v>
      </c>
      <c r="R346" s="157"/>
      <c r="S346" s="157">
        <v>3913</v>
      </c>
      <c r="T346" s="19"/>
      <c r="U346" s="53"/>
    </row>
    <row r="347" spans="1:21" s="106" customFormat="1">
      <c r="A347" s="106" t="s">
        <v>165</v>
      </c>
      <c r="B347" s="14" t="s">
        <v>77</v>
      </c>
      <c r="C347" s="14">
        <v>2017</v>
      </c>
      <c r="D347" s="14" t="s">
        <v>265</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57">
        <v>774974</v>
      </c>
      <c r="P347" s="157">
        <v>177938</v>
      </c>
      <c r="Q347" s="157">
        <v>162564</v>
      </c>
      <c r="R347" s="157"/>
      <c r="S347" s="157">
        <v>9550</v>
      </c>
      <c r="T347" s="19"/>
      <c r="U347" s="53"/>
    </row>
    <row r="348" spans="1:21" s="106" customFormat="1">
      <c r="A348" s="106" t="s">
        <v>166</v>
      </c>
      <c r="B348" s="14" t="s">
        <v>77</v>
      </c>
      <c r="C348" s="14">
        <v>2017</v>
      </c>
      <c r="D348" s="14" t="s">
        <v>265</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57">
        <v>451688</v>
      </c>
      <c r="P348" s="157">
        <v>91564</v>
      </c>
      <c r="Q348" s="157">
        <v>100702</v>
      </c>
      <c r="R348" s="157"/>
      <c r="S348" s="157">
        <v>7869</v>
      </c>
      <c r="T348" s="19"/>
      <c r="U348" s="53"/>
    </row>
    <row r="349" spans="1:21" s="106" customFormat="1">
      <c r="A349" s="106" t="s">
        <v>167</v>
      </c>
      <c r="B349" s="14" t="s">
        <v>77</v>
      </c>
      <c r="C349" s="14">
        <v>2017</v>
      </c>
      <c r="D349" s="14" t="s">
        <v>265</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57">
        <v>1952286</v>
      </c>
      <c r="P349" s="157">
        <v>379958</v>
      </c>
      <c r="Q349" s="157">
        <v>444642</v>
      </c>
      <c r="R349" s="157"/>
      <c r="S349" s="157">
        <v>40724</v>
      </c>
      <c r="T349" s="19"/>
      <c r="U349" s="53"/>
    </row>
    <row r="350" spans="1:21" s="106" customFormat="1">
      <c r="A350" s="106" t="s">
        <v>168</v>
      </c>
      <c r="B350" s="14" t="s">
        <v>77</v>
      </c>
      <c r="C350" s="14">
        <v>2017</v>
      </c>
      <c r="D350" s="14" t="s">
        <v>265</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57">
        <v>278335</v>
      </c>
      <c r="P350" s="157">
        <v>63450</v>
      </c>
      <c r="Q350" s="157">
        <v>58310</v>
      </c>
      <c r="R350" s="157"/>
      <c r="S350" s="157">
        <v>4625</v>
      </c>
      <c r="T350" s="19"/>
      <c r="U350" s="53"/>
    </row>
    <row r="351" spans="1:21" s="106" customFormat="1">
      <c r="A351" s="106" t="s">
        <v>169</v>
      </c>
      <c r="B351" s="14" t="s">
        <v>78</v>
      </c>
      <c r="C351" s="14">
        <v>2017</v>
      </c>
      <c r="D351" s="14" t="s">
        <v>265</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57">
        <v>178359</v>
      </c>
      <c r="P351" s="157">
        <v>48890</v>
      </c>
      <c r="Q351" s="157">
        <v>37586</v>
      </c>
      <c r="R351" s="157"/>
      <c r="S351" s="157">
        <v>9049</v>
      </c>
      <c r="T351" s="19"/>
      <c r="U351" s="53"/>
    </row>
    <row r="352" spans="1:21" s="106" customFormat="1">
      <c r="A352" s="106" t="s">
        <v>170</v>
      </c>
      <c r="B352" s="14" t="s">
        <v>78</v>
      </c>
      <c r="C352" s="14">
        <v>2017</v>
      </c>
      <c r="D352" s="14" t="s">
        <v>265</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57">
        <v>3138</v>
      </c>
      <c r="P352" s="157">
        <v>1248</v>
      </c>
      <c r="Q352" s="157">
        <v>464</v>
      </c>
      <c r="R352" s="157"/>
      <c r="S352" s="157">
        <v>79</v>
      </c>
      <c r="T352" s="19"/>
      <c r="U352" s="53"/>
    </row>
    <row r="353" spans="1:21" s="106" customFormat="1">
      <c r="A353" s="106" t="s">
        <v>171</v>
      </c>
      <c r="B353" s="14" t="s">
        <v>78</v>
      </c>
      <c r="C353" s="14">
        <v>2017</v>
      </c>
      <c r="D353" s="14" t="s">
        <v>265</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57">
        <v>44325</v>
      </c>
      <c r="P353" s="157">
        <v>14972</v>
      </c>
      <c r="Q353" s="157">
        <v>8609</v>
      </c>
      <c r="R353" s="157"/>
      <c r="S353" s="157">
        <v>2334</v>
      </c>
      <c r="T353" s="19"/>
      <c r="U353" s="53"/>
    </row>
    <row r="354" spans="1:21" s="106" customFormat="1">
      <c r="A354" s="106" t="s">
        <v>172</v>
      </c>
      <c r="B354" s="14" t="s">
        <v>77</v>
      </c>
      <c r="C354" s="14">
        <v>2017</v>
      </c>
      <c r="D354" s="14" t="s">
        <v>265</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57">
        <v>439320</v>
      </c>
      <c r="P354" s="157">
        <v>96492</v>
      </c>
      <c r="Q354" s="157">
        <v>100669</v>
      </c>
      <c r="R354" s="157"/>
      <c r="S354" s="157">
        <v>11067</v>
      </c>
      <c r="T354" s="19"/>
      <c r="U354" s="53"/>
    </row>
    <row r="355" spans="1:21" s="106" customFormat="1">
      <c r="A355" s="106" t="s">
        <v>173</v>
      </c>
      <c r="B355" s="14" t="s">
        <v>77</v>
      </c>
      <c r="C355" s="14">
        <v>2017</v>
      </c>
      <c r="D355" s="14" t="s">
        <v>265</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57">
        <v>507323</v>
      </c>
      <c r="P355" s="157">
        <v>135829</v>
      </c>
      <c r="Q355" s="157">
        <v>98139</v>
      </c>
      <c r="R355" s="157"/>
      <c r="S355" s="157">
        <v>8029</v>
      </c>
      <c r="T355" s="19"/>
      <c r="U355" s="53"/>
    </row>
    <row r="356" spans="1:21" s="106" customFormat="1">
      <c r="A356" s="106" t="s">
        <v>174</v>
      </c>
      <c r="B356" s="14" t="s">
        <v>78</v>
      </c>
      <c r="C356" s="14">
        <v>2017</v>
      </c>
      <c r="D356" s="14" t="s">
        <v>265</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57">
        <v>551712</v>
      </c>
      <c r="P356" s="157">
        <v>99859</v>
      </c>
      <c r="Q356" s="157">
        <v>145609</v>
      </c>
      <c r="R356" s="157"/>
      <c r="S356" s="157">
        <v>19222</v>
      </c>
      <c r="T356" s="19"/>
      <c r="U356" s="53"/>
    </row>
    <row r="357" spans="1:21" s="106" customFormat="1">
      <c r="A357" s="106" t="s">
        <v>175</v>
      </c>
      <c r="B357" s="14" t="s">
        <v>78</v>
      </c>
      <c r="C357" s="14">
        <v>2017</v>
      </c>
      <c r="D357" s="14" t="s">
        <v>265</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57">
        <v>98992</v>
      </c>
      <c r="P357" s="157">
        <v>20046</v>
      </c>
      <c r="Q357" s="157">
        <v>25083</v>
      </c>
      <c r="R357" s="157"/>
      <c r="S357" s="157">
        <v>3766</v>
      </c>
      <c r="T357" s="19"/>
      <c r="U357" s="53"/>
    </row>
    <row r="358" spans="1:21" s="106" customFormat="1">
      <c r="A358" s="106" t="s">
        <v>176</v>
      </c>
      <c r="B358" s="14" t="s">
        <v>78</v>
      </c>
      <c r="C358" s="14">
        <v>2017</v>
      </c>
      <c r="D358" s="14" t="s">
        <v>265</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57">
        <v>64313</v>
      </c>
      <c r="P358" s="157">
        <v>16080</v>
      </c>
      <c r="Q358" s="157">
        <v>15426</v>
      </c>
      <c r="R358" s="157"/>
      <c r="S358" s="157">
        <v>2945</v>
      </c>
      <c r="T358" s="19"/>
      <c r="U358" s="53"/>
    </row>
    <row r="359" spans="1:21" s="106" customFormat="1">
      <c r="A359" s="106" t="s">
        <v>177</v>
      </c>
      <c r="B359" s="14" t="s">
        <v>78</v>
      </c>
      <c r="C359" s="14">
        <v>2017</v>
      </c>
      <c r="D359" s="14" t="s">
        <v>265</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57">
        <v>13447</v>
      </c>
      <c r="P359" s="157">
        <v>5064</v>
      </c>
      <c r="Q359" s="157">
        <v>2147</v>
      </c>
      <c r="R359" s="157"/>
      <c r="S359" s="157">
        <v>614</v>
      </c>
      <c r="T359" s="19"/>
      <c r="U359" s="53"/>
    </row>
    <row r="360" spans="1:21" s="106" customFormat="1">
      <c r="A360" s="106" t="s">
        <v>178</v>
      </c>
      <c r="B360" s="14" t="s">
        <v>77</v>
      </c>
      <c r="C360" s="14">
        <v>2017</v>
      </c>
      <c r="D360" s="14" t="s">
        <v>265</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57">
        <v>473308</v>
      </c>
      <c r="P360" s="157">
        <v>75894</v>
      </c>
      <c r="Q360" s="157">
        <v>144428</v>
      </c>
      <c r="R360" s="157"/>
      <c r="S360" s="157">
        <v>17521</v>
      </c>
      <c r="T360" s="19"/>
      <c r="U360" s="53"/>
    </row>
    <row r="361" spans="1:21" s="106" customFormat="1">
      <c r="A361" s="106" t="s">
        <v>179</v>
      </c>
      <c r="B361" s="14" t="s">
        <v>78</v>
      </c>
      <c r="C361" s="14">
        <v>2017</v>
      </c>
      <c r="D361" s="14" t="s">
        <v>265</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57">
        <v>54193</v>
      </c>
      <c r="P361" s="157">
        <v>19020</v>
      </c>
      <c r="Q361" s="157">
        <v>8650</v>
      </c>
      <c r="R361" s="157"/>
      <c r="S361" s="157">
        <v>1540</v>
      </c>
      <c r="T361" s="19"/>
      <c r="U361" s="53"/>
    </row>
    <row r="362" spans="1:21" s="106" customFormat="1">
      <c r="A362" s="106" t="s">
        <v>180</v>
      </c>
      <c r="B362" s="14" t="s">
        <v>77</v>
      </c>
      <c r="C362" s="14">
        <v>2017</v>
      </c>
      <c r="D362" s="14" t="s">
        <v>265</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57">
        <v>858585</v>
      </c>
      <c r="P362" s="157">
        <v>183314</v>
      </c>
      <c r="Q362" s="157">
        <v>197824</v>
      </c>
      <c r="R362" s="157"/>
      <c r="S362" s="157">
        <v>14726</v>
      </c>
      <c r="T362" s="19"/>
      <c r="U362" s="53"/>
    </row>
    <row r="363" spans="1:21" s="106" customFormat="1">
      <c r="A363" s="106" t="s">
        <v>181</v>
      </c>
      <c r="B363" s="14" t="s">
        <v>77</v>
      </c>
      <c r="C363" s="14">
        <v>2017</v>
      </c>
      <c r="D363" s="14" t="s">
        <v>265</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57">
        <v>220171</v>
      </c>
      <c r="P363" s="157">
        <v>38002</v>
      </c>
      <c r="Q363" s="157">
        <v>49156</v>
      </c>
      <c r="R363" s="157"/>
      <c r="S363" s="157">
        <v>5077</v>
      </c>
      <c r="T363" s="19"/>
      <c r="U363" s="53"/>
    </row>
    <row r="364" spans="1:21">
      <c r="A364" s="106" t="s">
        <v>182</v>
      </c>
      <c r="B364" s="14" t="s">
        <v>78</v>
      </c>
      <c r="C364" s="14">
        <v>2017</v>
      </c>
      <c r="D364" s="14" t="s">
        <v>265</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57">
        <v>76904</v>
      </c>
      <c r="P364" s="157">
        <v>13591</v>
      </c>
      <c r="Q364" s="157">
        <v>21502</v>
      </c>
      <c r="R364" s="157"/>
      <c r="S364" s="157">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2"/>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433</v>
      </c>
      <c r="C12" s="107">
        <v>547867</v>
      </c>
      <c r="D12" s="107">
        <v>111321</v>
      </c>
      <c r="E12" s="107">
        <v>117728</v>
      </c>
      <c r="F12" s="107">
        <v>158956</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30.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5"/>
  <sheetViews>
    <sheetView zoomScaleNormal="100" workbookViewId="0">
      <selection activeCell="C29" sqref="C29"/>
    </sheetView>
  </sheetViews>
  <sheetFormatPr defaultRowHeight="15"/>
  <cols>
    <col min="1" max="1" width="18" customWidth="1"/>
    <col min="2" max="2" width="9.28515625" customWidth="1"/>
    <col min="3" max="3" width="9.5703125" customWidth="1"/>
    <col min="4" max="4" width="12" customWidth="1"/>
    <col min="5" max="5" width="8.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189</v>
      </c>
      <c r="D13" s="106" t="s">
        <v>191</v>
      </c>
      <c r="E13" s="106" t="s">
        <v>135</v>
      </c>
    </row>
    <row r="14" spans="1:6">
      <c r="A14" s="106">
        <v>2018</v>
      </c>
      <c r="B14" s="106" t="s">
        <v>3</v>
      </c>
      <c r="C14" s="41">
        <v>1486</v>
      </c>
      <c r="D14" s="41">
        <v>5196</v>
      </c>
      <c r="E14" s="41">
        <v>3425</v>
      </c>
    </row>
    <row r="15" spans="1:6">
      <c r="B15" s="106" t="s">
        <v>433</v>
      </c>
      <c r="C15" s="41">
        <v>1475</v>
      </c>
      <c r="D15" s="41">
        <v>5134</v>
      </c>
      <c r="E15" s="41">
        <v>3411</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259</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16.28515625" customWidth="1"/>
    <col min="3" max="3" width="11.28515625" customWidth="1"/>
    <col min="4" max="4" width="14.710937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417</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183</v>
      </c>
      <c r="C110" s="106" t="s">
        <v>184</v>
      </c>
      <c r="D110" s="106" t="s">
        <v>190</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63" t="s">
        <v>65</v>
      </c>
      <c r="B112" s="39">
        <v>5.6800000000000003E-2</v>
      </c>
      <c r="C112" s="39">
        <v>6.3799999999999996E-2</v>
      </c>
      <c r="D112" s="39">
        <v>9.2399999999999996E-2</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63" t="s">
        <v>199</v>
      </c>
      <c r="B113" s="39">
        <v>8.4199999999999997E-2</v>
      </c>
      <c r="C113" s="39">
        <v>7.9799999999999996E-2</v>
      </c>
      <c r="D113" s="39">
        <v>6.25E-2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63" t="s">
        <v>200</v>
      </c>
      <c r="B114" s="39">
        <v>7.0999999999999994E-2</v>
      </c>
      <c r="C114" s="39">
        <v>8.0600000000000005E-2</v>
      </c>
      <c r="D114" s="39">
        <v>4.7699999999999999E-2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63" t="s">
        <v>3</v>
      </c>
      <c r="B115" s="39">
        <v>8.09E-2</v>
      </c>
      <c r="C115" s="39">
        <v>7.0800000000000002E-2</v>
      </c>
      <c r="D115" s="39">
        <v>6.7299999999999999E-2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63" t="s">
        <v>194</v>
      </c>
      <c r="B116" s="39">
        <v>8.0299999999999996E-2</v>
      </c>
      <c r="C116" s="39">
        <v>5.6899999999999999E-2</v>
      </c>
      <c r="D116" s="39">
        <v>6.3600000000000004E-2</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63" t="s">
        <v>195</v>
      </c>
      <c r="B117" s="39">
        <v>7.2999999999999995E-2</v>
      </c>
      <c r="C117" s="39">
        <v>4.7300000000000002E-2</v>
      </c>
      <c r="D117" s="39">
        <v>6.9000000000000006E-2</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63" t="s">
        <v>62</v>
      </c>
      <c r="B118" s="39">
        <v>6.93E-2</v>
      </c>
      <c r="C118" s="39">
        <v>4.3200000000000002E-2</v>
      </c>
      <c r="D118" s="39">
        <v>6.1800000000000001E-2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63" t="s">
        <v>63</v>
      </c>
      <c r="B119" s="39">
        <v>6.8599999999999994E-2</v>
      </c>
      <c r="C119" s="39">
        <v>3.8199999999999998E-2</v>
      </c>
      <c r="D119" s="39">
        <v>5.2699999999999997E-2</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63" t="s">
        <v>196</v>
      </c>
      <c r="B120" s="39">
        <v>6.4600000000000005E-2</v>
      </c>
      <c r="C120" s="39">
        <v>3.3500000000000002E-2</v>
      </c>
      <c r="D120" s="39">
        <v>5.8400000000000001E-2</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63" t="s">
        <v>64</v>
      </c>
      <c r="B121" s="39">
        <v>6.2700000000000006E-2</v>
      </c>
      <c r="C121" s="39">
        <v>3.3799999999999997E-2</v>
      </c>
      <c r="D121" s="39">
        <v>5.9499999999999997E-2</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63" t="s">
        <v>197</v>
      </c>
      <c r="B122" s="39">
        <v>6.1899999999999997E-2</v>
      </c>
      <c r="C122" s="39">
        <v>3.1E-2</v>
      </c>
      <c r="D122" s="39">
        <v>5.8500000000000003E-2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63" t="s">
        <v>198</v>
      </c>
      <c r="B123" s="39">
        <v>6.6400000000000001E-2</v>
      </c>
      <c r="C123" s="39">
        <v>2.8799999999999999E-2</v>
      </c>
      <c r="D123" s="39">
        <v>6.0699999999999997E-2</v>
      </c>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3" width="9.5703125" customWidth="1"/>
    <col min="4" max="4" width="14" customWidth="1"/>
    <col min="5" max="5" width="12.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185</v>
      </c>
    </row>
    <row r="48" spans="1:98">
      <c r="A48" s="106">
        <v>2018</v>
      </c>
      <c r="C48" s="46"/>
    </row>
    <row r="49" spans="2:3">
      <c r="B49" s="106" t="s">
        <v>3</v>
      </c>
      <c r="C49" s="39">
        <v>1</v>
      </c>
    </row>
    <row r="50" spans="2:3">
      <c r="B50" s="106" t="s">
        <v>433</v>
      </c>
      <c r="C50" s="39">
        <v>0.66666666666666663</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5.85546875" customWidth="1"/>
    <col min="2" max="2" width="16.28515625" customWidth="1"/>
    <col min="3" max="3" width="14" customWidth="1"/>
    <col min="4" max="4" width="12.8554687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252</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257</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258</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7109375" customWidth="1"/>
    <col min="4" max="4" width="17" customWidth="1"/>
    <col min="5"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xml:space="preserve"> - 2017</v>
      </c>
    </row>
    <row r="8" spans="1:6">
      <c r="A8" t="str">
        <f>A7&amp;F7</f>
        <v>30-Day Churn: Percent of Reapplications (Quarterly), 2016 - 2017</v>
      </c>
      <c r="F8">
        <f>MAX(A14:A42)</f>
        <v>2017</v>
      </c>
    </row>
    <row r="11" spans="1:6">
      <c r="A11" s="32" t="s">
        <v>115</v>
      </c>
      <c r="C11" s="32" t="s">
        <v>0</v>
      </c>
    </row>
    <row r="12" spans="1:6">
      <c r="A12" s="32" t="s">
        <v>91</v>
      </c>
      <c r="B12" s="32" t="s">
        <v>67</v>
      </c>
      <c r="C12" s="106" t="s">
        <v>183</v>
      </c>
      <c r="D12" s="106" t="s">
        <v>184</v>
      </c>
      <c r="E12" s="106" t="s">
        <v>162</v>
      </c>
    </row>
    <row r="13" spans="1:6">
      <c r="A13" s="106">
        <v>2016</v>
      </c>
      <c r="C13" s="39"/>
      <c r="D13" s="39"/>
      <c r="E13" s="39"/>
    </row>
    <row r="14" spans="1:6">
      <c r="B14" s="106" t="s">
        <v>3</v>
      </c>
      <c r="C14" s="39">
        <v>0.1166</v>
      </c>
      <c r="D14" s="39">
        <v>0.11</v>
      </c>
      <c r="E14" s="39">
        <v>0.1004</v>
      </c>
    </row>
    <row r="15" spans="1:6">
      <c r="A15" s="106">
        <v>2017</v>
      </c>
      <c r="C15" s="39"/>
      <c r="D15" s="39"/>
      <c r="E15" s="39"/>
    </row>
    <row r="16" spans="1:6">
      <c r="B16" s="106" t="s">
        <v>3</v>
      </c>
      <c r="C16" s="39">
        <v>0.1426</v>
      </c>
      <c r="D16" s="39">
        <v>0.1125</v>
      </c>
      <c r="E16" s="39">
        <v>0.1024</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2016</v>
      </c>
      <c r="C43" s="39"/>
      <c r="D43" s="39"/>
      <c r="E43" s="39"/>
      <c r="F43" s="39" t="str">
        <f>IF(F44=0,""," - "&amp;F44)</f>
        <v xml:space="preserve"> - 2017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2016 - 2017</v>
      </c>
      <c r="C44" s="39"/>
      <c r="D44" s="39"/>
      <c r="E44" s="39"/>
      <c r="F44" s="38">
        <f>MAX(A50:A86)</f>
        <v>2017</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162</v>
      </c>
    </row>
    <row r="49" spans="1:5">
      <c r="A49" s="106">
        <v>2016</v>
      </c>
      <c r="C49" s="39"/>
      <c r="D49" s="39"/>
      <c r="E49" s="39"/>
    </row>
    <row r="50" spans="1:5">
      <c r="B50" s="106" t="s">
        <v>3</v>
      </c>
      <c r="C50" s="39">
        <v>0.1978</v>
      </c>
      <c r="D50" s="39">
        <v>0.20860000000000001</v>
      </c>
      <c r="E50" s="39">
        <v>0.1847</v>
      </c>
    </row>
    <row r="51" spans="1:5">
      <c r="A51" s="106">
        <v>2017</v>
      </c>
      <c r="C51" s="39"/>
      <c r="D51" s="39"/>
      <c r="E51" s="39"/>
    </row>
    <row r="52" spans="1:5">
      <c r="B52" s="106" t="s">
        <v>3</v>
      </c>
      <c r="C52" s="39">
        <v>0.25159999999999999</v>
      </c>
      <c r="D52" s="39">
        <v>0.21820000000000001</v>
      </c>
      <c r="E52" s="39">
        <v>0.20679999999999998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2016</v>
      </c>
      <c r="C89" s="39"/>
      <c r="D89" s="39"/>
      <c r="E89" s="39"/>
      <c r="F89" s="39" t="str">
        <f>IF(F90=0,""," - "&amp;F90)</f>
        <v xml:space="preserve"> - 2017</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2016 - 2017</v>
      </c>
      <c r="C90" s="39"/>
      <c r="D90" s="39"/>
      <c r="E90" s="39"/>
      <c r="F90" s="38">
        <f>MAX(A96:A140)</f>
        <v>2017</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157</v>
      </c>
      <c r="D94" s="106" t="s">
        <v>160</v>
      </c>
      <c r="E94" s="106" t="s">
        <v>161</v>
      </c>
    </row>
    <row r="95" spans="1:61">
      <c r="A95" s="106">
        <v>2016</v>
      </c>
      <c r="C95" s="39"/>
      <c r="D95" s="39"/>
      <c r="E95" s="39"/>
    </row>
    <row r="96" spans="1:61">
      <c r="B96" s="106" t="s">
        <v>3</v>
      </c>
      <c r="C96" s="39">
        <v>0.20300000000000001</v>
      </c>
      <c r="D96" s="39">
        <v>0.2475</v>
      </c>
      <c r="E96" s="39">
        <v>6.8400000000000002E-2</v>
      </c>
    </row>
    <row r="97" spans="1:5">
      <c r="B97" s="106" t="s">
        <v>62</v>
      </c>
      <c r="C97" s="39">
        <v>0.2225</v>
      </c>
      <c r="D97" s="39">
        <v>0.25719999999999998</v>
      </c>
      <c r="E97" s="39">
        <v>6.9099999999999995E-2</v>
      </c>
    </row>
    <row r="98" spans="1:5">
      <c r="B98" s="106" t="s">
        <v>64</v>
      </c>
      <c r="C98" s="39">
        <v>0.20749999999999999</v>
      </c>
      <c r="D98" s="39">
        <v>0.25719999999999998</v>
      </c>
      <c r="E98" s="39">
        <v>6.9699999999999998E-2</v>
      </c>
    </row>
    <row r="99" spans="1:5">
      <c r="B99" s="106" t="s">
        <v>65</v>
      </c>
      <c r="C99" s="39">
        <v>0.1978</v>
      </c>
      <c r="D99" s="39">
        <v>0.29920000000000002</v>
      </c>
      <c r="E99" s="39">
        <v>7.4200000000000002E-2</v>
      </c>
    </row>
    <row r="100" spans="1:5">
      <c r="A100" s="106">
        <v>2017</v>
      </c>
      <c r="C100" s="39"/>
      <c r="D100" s="39"/>
      <c r="E100" s="39"/>
    </row>
    <row r="101" spans="1:5">
      <c r="B101" s="106" t="s">
        <v>3</v>
      </c>
      <c r="C101" s="39">
        <v>0.16449999999999998</v>
      </c>
      <c r="D101" s="39">
        <v>0.24129999999999999</v>
      </c>
      <c r="E101" s="39">
        <v>5.91E-2</v>
      </c>
    </row>
    <row r="102" spans="1:5">
      <c r="B102" s="106" t="s">
        <v>62</v>
      </c>
      <c r="C102" s="39">
        <v>0.16510000000000002</v>
      </c>
      <c r="D102" s="39">
        <v>0.24739999999999998</v>
      </c>
      <c r="E102" s="39">
        <v>5.9400000000000001E-2</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2" t="s">
        <v>118</v>
      </c>
      <c r="C146" s="32" t="s">
        <v>0</v>
      </c>
    </row>
    <row r="147" spans="1:6">
      <c r="A147" s="32" t="s">
        <v>91</v>
      </c>
      <c r="B147" s="32" t="s">
        <v>67</v>
      </c>
      <c r="C147" s="106" t="s">
        <v>157</v>
      </c>
      <c r="D147" s="106" t="s">
        <v>160</v>
      </c>
      <c r="E147" s="106" t="s">
        <v>161</v>
      </c>
    </row>
    <row r="148" spans="1:6">
      <c r="A148" s="106">
        <v>2016</v>
      </c>
      <c r="C148" s="39"/>
      <c r="D148" s="39"/>
      <c r="E148" s="39"/>
    </row>
    <row r="149" spans="1:6">
      <c r="B149" s="106" t="s">
        <v>3</v>
      </c>
      <c r="C149" s="39">
        <v>0.23630000000000001</v>
      </c>
      <c r="D149" s="39">
        <v>0.28139999999999998</v>
      </c>
      <c r="E149" s="39">
        <v>0.114</v>
      </c>
    </row>
    <row r="150" spans="1:6">
      <c r="B150" s="106" t="s">
        <v>62</v>
      </c>
      <c r="C150" s="39">
        <v>0.26329999999999998</v>
      </c>
      <c r="D150" s="39">
        <v>0.29580000000000001</v>
      </c>
      <c r="E150" s="39">
        <v>0.1168</v>
      </c>
    </row>
    <row r="151" spans="1:6">
      <c r="B151" s="106" t="s">
        <v>64</v>
      </c>
      <c r="C151" s="39">
        <v>0.24010000000000001</v>
      </c>
      <c r="D151" s="39">
        <v>0.28920000000000001</v>
      </c>
      <c r="E151" s="39">
        <v>0.1103</v>
      </c>
    </row>
    <row r="152" spans="1:6">
      <c r="B152" s="106" t="s">
        <v>65</v>
      </c>
      <c r="C152" s="39">
        <v>0.23519999999999999</v>
      </c>
      <c r="D152" s="39">
        <v>0.33939999999999998</v>
      </c>
      <c r="E152" s="39">
        <v>0.12140000000000001</v>
      </c>
    </row>
    <row r="153" spans="1:6">
      <c r="A153" s="106">
        <v>2017</v>
      </c>
      <c r="C153" s="39"/>
      <c r="D153" s="39"/>
      <c r="E153" s="39"/>
    </row>
    <row r="154" spans="1:6">
      <c r="B154" s="106" t="s">
        <v>3</v>
      </c>
      <c r="C154" s="39">
        <v>0.1943</v>
      </c>
      <c r="D154" s="39">
        <v>0.2717</v>
      </c>
      <c r="E154" s="39">
        <v>9.8299999999999998E-2</v>
      </c>
    </row>
    <row r="155" spans="1:6">
      <c r="B155" s="106" t="s">
        <v>62</v>
      </c>
      <c r="C155" s="39">
        <v>0.1953</v>
      </c>
      <c r="D155" s="39">
        <v>0.27889999999999998</v>
      </c>
      <c r="E155" s="39">
        <v>9.9299999999999999E-2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9.28515625" customWidth="1"/>
    <col min="3" max="3" width="9.85546875" customWidth="1"/>
    <col min="4" max="4" width="11.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2015</v>
      </c>
      <c r="F7" t="str">
        <f>IF(F8=0,""," - "&amp;F8)</f>
        <v/>
      </c>
    </row>
    <row r="8" spans="1:240">
      <c r="A8" t="str">
        <f>A7&amp;F7</f>
        <v>Total Population, 2015</v>
      </c>
      <c r="F8">
        <f>MAX(A14:A26)</f>
        <v>0</v>
      </c>
    </row>
    <row r="11" spans="1:240">
      <c r="A11" s="32" t="s">
        <v>253</v>
      </c>
      <c r="B11" s="32" t="s">
        <v>88</v>
      </c>
    </row>
    <row r="12" spans="1:240">
      <c r="A12" s="32" t="s">
        <v>87</v>
      </c>
      <c r="B12" s="106" t="s">
        <v>161</v>
      </c>
      <c r="C12" s="106" t="s">
        <v>162</v>
      </c>
      <c r="D12" s="106" t="s">
        <v>163</v>
      </c>
    </row>
    <row r="13" spans="1:240">
      <c r="A13" s="33">
        <v>2015</v>
      </c>
      <c r="B13" s="107">
        <v>3275084</v>
      </c>
      <c r="C13" s="107">
        <v>863108</v>
      </c>
      <c r="D13" s="107">
        <v>727547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2015</v>
      </c>
      <c r="B34" s="13"/>
      <c r="C34" s="13"/>
      <c r="D34" s="13"/>
      <c r="E34" s="13"/>
      <c r="F34" s="13" t="str">
        <f>IF(F35=0,""," - "&amp;F35)</f>
        <v/>
      </c>
      <c r="J34" s="63" t="s">
        <v>217</v>
      </c>
    </row>
    <row r="35" spans="1:63">
      <c r="A35" s="13" t="str">
        <f>A34&amp;F34</f>
        <v>Elderly Population (age 60+), 2015</v>
      </c>
      <c r="B35" s="13"/>
      <c r="C35" s="13"/>
      <c r="D35" s="13"/>
      <c r="E35" s="13"/>
      <c r="F35" s="13">
        <f>MAX(A41:A53)</f>
        <v>0</v>
      </c>
    </row>
    <row r="38" spans="1:63">
      <c r="A38" s="32" t="s">
        <v>254</v>
      </c>
      <c r="B38" s="32" t="s">
        <v>88</v>
      </c>
    </row>
    <row r="39" spans="1:63">
      <c r="A39" s="32" t="s">
        <v>87</v>
      </c>
      <c r="B39" s="106" t="s">
        <v>161</v>
      </c>
      <c r="C39" s="106" t="s">
        <v>162</v>
      </c>
      <c r="D39" s="106" t="s">
        <v>163</v>
      </c>
    </row>
    <row r="40" spans="1:63">
      <c r="A40" s="33">
        <v>2015</v>
      </c>
      <c r="B40" s="107">
        <v>613778</v>
      </c>
      <c r="C40" s="107">
        <v>183363</v>
      </c>
      <c r="D40" s="107">
        <v>123054</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2015</v>
      </c>
      <c r="B63" s="13"/>
      <c r="C63" s="13"/>
      <c r="D63" s="13"/>
      <c r="E63" s="13"/>
      <c r="F63" s="13" t="str">
        <f>IF(F64=0,""," - "&amp;F64)</f>
        <v/>
      </c>
    </row>
    <row r="64" spans="1:63">
      <c r="A64" s="13" t="str">
        <f>A63&amp;F63</f>
        <v>Population Under Age 18, 2015</v>
      </c>
      <c r="B64" s="13"/>
      <c r="C64" s="13"/>
      <c r="D64" s="13"/>
      <c r="E64" s="13"/>
      <c r="F64" s="13">
        <f>MAX(A70:A82)</f>
        <v>0</v>
      </c>
    </row>
    <row r="67" spans="1:62">
      <c r="A67" s="32" t="s">
        <v>255</v>
      </c>
      <c r="B67" s="32" t="s">
        <v>88</v>
      </c>
    </row>
    <row r="68" spans="1:62">
      <c r="A68" s="32" t="s">
        <v>87</v>
      </c>
      <c r="B68" s="106" t="s">
        <v>161</v>
      </c>
      <c r="C68" s="106" t="s">
        <v>162</v>
      </c>
      <c r="D68" s="106" t="s">
        <v>163</v>
      </c>
    </row>
    <row r="69" spans="1:62">
      <c r="A69" s="33">
        <v>2015</v>
      </c>
      <c r="B69" s="107">
        <v>772594</v>
      </c>
      <c r="C69" s="107">
        <v>121514</v>
      </c>
      <c r="D69" s="107">
        <v>198377</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2015</v>
      </c>
      <c r="B92" s="13"/>
      <c r="C92" s="13"/>
      <c r="D92" s="13"/>
      <c r="E92" s="13"/>
      <c r="F92" s="13" t="str">
        <f>IF(F93=0,""," - "&amp;F93)</f>
        <v/>
      </c>
    </row>
    <row r="93" spans="1:6">
      <c r="A93" s="13" t="str">
        <f>A92&amp;F92</f>
        <v>ESL Population (age 5+), 2015</v>
      </c>
      <c r="B93" s="13"/>
      <c r="C93" s="13"/>
      <c r="D93" s="13"/>
      <c r="E93" s="13"/>
      <c r="F93" s="13">
        <f>MAX(A99:A111)</f>
        <v>0</v>
      </c>
    </row>
    <row r="96" spans="1:6">
      <c r="A96" s="32" t="s">
        <v>256</v>
      </c>
      <c r="B96" s="32" t="s">
        <v>88</v>
      </c>
    </row>
    <row r="97" spans="1:62">
      <c r="A97" s="32" t="s">
        <v>87</v>
      </c>
      <c r="B97" s="106" t="s">
        <v>161</v>
      </c>
      <c r="C97" s="106" t="s">
        <v>162</v>
      </c>
      <c r="D97" s="106" t="s">
        <v>163</v>
      </c>
    </row>
    <row r="98" spans="1:62">
      <c r="A98" s="33">
        <v>2015</v>
      </c>
      <c r="B98" s="107">
        <v>231525</v>
      </c>
      <c r="C98" s="107">
        <v>100767</v>
      </c>
      <c r="D98" s="107">
        <v>63826</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89" t="s">
        <v>250</v>
      </c>
      <c r="B8" s="189"/>
      <c r="C8" s="189"/>
      <c r="D8" s="189"/>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266</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266</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266</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266</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266</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266</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266</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266</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266</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266</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266</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266</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266</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266</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266</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266</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266</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266</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266</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266</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
  <sheetViews>
    <sheetView topLeftCell="A103" workbookViewId="0">
      <selection activeCell="A104" sqref="A104"/>
    </sheetView>
  </sheetViews>
  <sheetFormatPr defaultRowHeight="15"/>
  <cols>
    <col min="1" max="1" width="17" customWidth="1"/>
    <col min="2" max="2" width="16.28515625" customWidth="1"/>
    <col min="3" max="3" width="11.285156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2017</v>
      </c>
      <c r="B1" s="106"/>
      <c r="C1" s="106"/>
      <c r="D1" s="106"/>
      <c r="E1" s="106"/>
      <c r="F1" s="106" t="str">
        <f>IF(F2=0,""," - "&amp;F2)</f>
        <v/>
      </c>
    </row>
    <row r="2" spans="1:6">
      <c r="A2" s="106" t="str">
        <f>A1&amp;F1</f>
        <v>Negative Error Rate (Monthly Cumulative %), FFY 2017</v>
      </c>
      <c r="B2" s="106"/>
      <c r="C2" s="106"/>
      <c r="D2" s="106"/>
      <c r="E2" s="106"/>
      <c r="F2" s="106">
        <f>MAX(A8:A96)</f>
        <v>0</v>
      </c>
    </row>
    <row r="5" spans="1:6">
      <c r="A5" s="32" t="s">
        <v>418</v>
      </c>
      <c r="B5" s="32" t="s">
        <v>88</v>
      </c>
    </row>
    <row r="6" spans="1:6">
      <c r="A6" s="32" t="s">
        <v>87</v>
      </c>
      <c r="B6" s="106" t="s">
        <v>183</v>
      </c>
      <c r="C6" s="106" t="s">
        <v>184</v>
      </c>
    </row>
    <row r="7" spans="1:6">
      <c r="A7" s="33">
        <v>2017</v>
      </c>
      <c r="B7" s="39"/>
      <c r="C7" s="39"/>
    </row>
    <row r="8" spans="1:6">
      <c r="A8" s="163" t="s">
        <v>3</v>
      </c>
      <c r="B8" s="39">
        <v>0.39800000000000002</v>
      </c>
      <c r="C8" s="39">
        <v>0.5</v>
      </c>
    </row>
    <row r="9" spans="1:6">
      <c r="A9" s="163" t="s">
        <v>194</v>
      </c>
      <c r="B9" s="39">
        <v>0.40600000000000003</v>
      </c>
      <c r="C9" s="39">
        <v>0.54500000000000004</v>
      </c>
    </row>
    <row r="10" spans="1:6">
      <c r="A10" s="163" t="s">
        <v>195</v>
      </c>
      <c r="B10" s="39">
        <v>0.39500000000000002</v>
      </c>
      <c r="C10" s="39">
        <v>0.53800000000000003</v>
      </c>
    </row>
    <row r="103" spans="1:6">
      <c r="A103" s="106" t="str">
        <f>"Negative Error Rate Cases Completed (Monthly Cumulative), FFY "&amp;A109</f>
        <v>Negative Error Rate Cases Completed (Monthly Cumulative), FFY 2017</v>
      </c>
      <c r="B103" s="106"/>
      <c r="C103" s="106"/>
      <c r="D103" s="106"/>
      <c r="E103" s="106"/>
      <c r="F103" s="106" t="str">
        <f>IF(F104=0,""," - "&amp;F104)</f>
        <v/>
      </c>
    </row>
    <row r="104" spans="1:6">
      <c r="A104" s="106" t="str">
        <f>A103&amp;F103</f>
        <v>Negative Error Rate Cases Completed (Monthly Cumulative), FFY 2017</v>
      </c>
      <c r="B104" s="106"/>
      <c r="C104" s="106"/>
      <c r="D104" s="106"/>
      <c r="E104" s="106"/>
      <c r="F104" s="106">
        <f>MAX(A110:A198)</f>
        <v>0</v>
      </c>
    </row>
    <row r="107" spans="1:6">
      <c r="A107" s="32" t="s">
        <v>419</v>
      </c>
      <c r="B107" s="32" t="s">
        <v>88</v>
      </c>
    </row>
    <row r="108" spans="1:6">
      <c r="A108" s="32" t="s">
        <v>87</v>
      </c>
      <c r="B108" s="106" t="s">
        <v>183</v>
      </c>
      <c r="C108" s="106" t="s">
        <v>184</v>
      </c>
    </row>
    <row r="109" spans="1:6">
      <c r="A109" s="33">
        <v>2017</v>
      </c>
      <c r="B109" s="46"/>
      <c r="C109" s="46"/>
    </row>
    <row r="110" spans="1:6">
      <c r="A110" s="163" t="s">
        <v>3</v>
      </c>
      <c r="B110" s="46">
        <v>334</v>
      </c>
      <c r="C110" s="46">
        <v>8</v>
      </c>
    </row>
    <row r="111" spans="1:6">
      <c r="A111" s="163" t="s">
        <v>194</v>
      </c>
      <c r="B111" s="46">
        <v>421</v>
      </c>
      <c r="C111" s="46">
        <v>11</v>
      </c>
    </row>
    <row r="112" spans="1:6">
      <c r="A112" s="163" t="s">
        <v>195</v>
      </c>
      <c r="B112" s="46">
        <v>504</v>
      </c>
      <c r="C112" s="46">
        <v>13</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89" t="s">
        <v>300</v>
      </c>
      <c r="B8" s="189"/>
      <c r="C8" s="189"/>
      <c r="D8" s="189"/>
      <c r="E8" s="189"/>
      <c r="F8" s="189"/>
    </row>
    <row r="9" spans="1:106" ht="8.25" customHeight="1"/>
    <row r="10" spans="1:106" s="15" customFormat="1">
      <c r="A10" s="117" t="s">
        <v>0</v>
      </c>
      <c r="B10" s="10" t="s">
        <v>279</v>
      </c>
      <c r="C10" s="10" t="s">
        <v>280</v>
      </c>
      <c r="D10" s="10" t="s">
        <v>301</v>
      </c>
      <c r="E10" s="10" t="s">
        <v>303</v>
      </c>
      <c r="F10" s="10" t="s">
        <v>304</v>
      </c>
      <c r="G10" s="10" t="s">
        <v>281</v>
      </c>
      <c r="H10" s="10" t="s">
        <v>282</v>
      </c>
      <c r="I10" s="10" t="s">
        <v>302</v>
      </c>
      <c r="J10" s="10" t="s">
        <v>305</v>
      </c>
      <c r="K10" s="10" t="s">
        <v>306</v>
      </c>
      <c r="L10" s="10" t="s">
        <v>283</v>
      </c>
      <c r="M10" s="10" t="s">
        <v>284</v>
      </c>
      <c r="N10" s="10" t="s">
        <v>307</v>
      </c>
      <c r="O10" s="10" t="s">
        <v>308</v>
      </c>
      <c r="P10" s="10" t="s">
        <v>309</v>
      </c>
      <c r="Q10" s="10" t="s">
        <v>285</v>
      </c>
      <c r="R10" s="10" t="s">
        <v>311</v>
      </c>
      <c r="S10" s="10" t="s">
        <v>310</v>
      </c>
      <c r="T10" s="10" t="s">
        <v>312</v>
      </c>
      <c r="U10" s="10" t="s">
        <v>313</v>
      </c>
      <c r="V10" s="10" t="s">
        <v>286</v>
      </c>
      <c r="W10" s="10" t="s">
        <v>287</v>
      </c>
      <c r="X10" s="10" t="s">
        <v>314</v>
      </c>
      <c r="Y10" s="10" t="s">
        <v>315</v>
      </c>
      <c r="Z10" s="10" t="s">
        <v>316</v>
      </c>
      <c r="AA10" s="10" t="s">
        <v>288</v>
      </c>
      <c r="AB10" s="10" t="s">
        <v>289</v>
      </c>
      <c r="AC10" s="10" t="s">
        <v>317</v>
      </c>
      <c r="AD10" s="10" t="s">
        <v>318</v>
      </c>
      <c r="AE10" s="10" t="s">
        <v>319</v>
      </c>
      <c r="AF10" s="10" t="s">
        <v>290</v>
      </c>
      <c r="AG10" s="10" t="s">
        <v>291</v>
      </c>
      <c r="AH10" s="10" t="s">
        <v>320</v>
      </c>
      <c r="AI10" s="10" t="s">
        <v>321</v>
      </c>
      <c r="AJ10" s="10" t="s">
        <v>322</v>
      </c>
      <c r="AK10" s="10" t="s">
        <v>292</v>
      </c>
      <c r="AL10" s="10" t="s">
        <v>293</v>
      </c>
      <c r="AM10" s="10" t="s">
        <v>323</v>
      </c>
      <c r="AN10" s="10" t="s">
        <v>324</v>
      </c>
      <c r="AO10" s="10" t="s">
        <v>325</v>
      </c>
      <c r="AP10" s="10" t="s">
        <v>294</v>
      </c>
      <c r="AQ10" s="10" t="s">
        <v>295</v>
      </c>
      <c r="AR10" s="10" t="s">
        <v>326</v>
      </c>
      <c r="AS10" s="10" t="s">
        <v>327</v>
      </c>
      <c r="AT10" s="10" t="s">
        <v>328</v>
      </c>
      <c r="AU10" s="10" t="s">
        <v>296</v>
      </c>
      <c r="AV10" s="10" t="s">
        <v>297</v>
      </c>
      <c r="AW10" s="10" t="s">
        <v>329</v>
      </c>
      <c r="AX10" s="10" t="s">
        <v>330</v>
      </c>
      <c r="AY10" s="10" t="s">
        <v>331</v>
      </c>
      <c r="AZ10" s="10" t="s">
        <v>298</v>
      </c>
      <c r="BA10" s="10" t="s">
        <v>299</v>
      </c>
      <c r="BB10" s="10" t="s">
        <v>332</v>
      </c>
      <c r="BC10" s="10" t="s">
        <v>333</v>
      </c>
      <c r="BD10" s="10" t="s">
        <v>334</v>
      </c>
      <c r="BE10" s="10" t="s">
        <v>337</v>
      </c>
      <c r="BF10" s="10" t="s">
        <v>338</v>
      </c>
      <c r="BG10" s="10" t="s">
        <v>339</v>
      </c>
      <c r="BH10" s="10" t="s">
        <v>340</v>
      </c>
      <c r="BI10" s="10" t="s">
        <v>341</v>
      </c>
      <c r="BJ10" s="10" t="s">
        <v>342</v>
      </c>
      <c r="BK10" s="10" t="s">
        <v>343</v>
      </c>
      <c r="BL10" s="10" t="s">
        <v>344</v>
      </c>
      <c r="BM10" s="10" t="s">
        <v>345</v>
      </c>
      <c r="BN10" s="10" t="s">
        <v>346</v>
      </c>
      <c r="BO10" s="10" t="s">
        <v>347</v>
      </c>
      <c r="BP10" s="10" t="s">
        <v>348</v>
      </c>
      <c r="BQ10" s="10" t="s">
        <v>349</v>
      </c>
      <c r="BR10" s="10" t="s">
        <v>350</v>
      </c>
      <c r="BS10" s="10" t="s">
        <v>351</v>
      </c>
      <c r="BT10" s="10" t="s">
        <v>352</v>
      </c>
      <c r="BU10" s="10" t="s">
        <v>353</v>
      </c>
      <c r="BV10" s="10" t="s">
        <v>354</v>
      </c>
      <c r="BW10" s="10" t="s">
        <v>355</v>
      </c>
      <c r="BX10" s="10" t="s">
        <v>356</v>
      </c>
      <c r="BY10" s="10" t="s">
        <v>357</v>
      </c>
      <c r="BZ10" s="10" t="s">
        <v>358</v>
      </c>
      <c r="CA10" s="10" t="s">
        <v>359</v>
      </c>
      <c r="CB10" s="10" t="s">
        <v>360</v>
      </c>
      <c r="CC10" s="10" t="s">
        <v>361</v>
      </c>
      <c r="CD10" s="10" t="s">
        <v>362</v>
      </c>
      <c r="CE10" s="10" t="s">
        <v>363</v>
      </c>
      <c r="CF10" s="10" t="s">
        <v>364</v>
      </c>
      <c r="CG10" s="10" t="s">
        <v>365</v>
      </c>
      <c r="CH10" s="10" t="s">
        <v>366</v>
      </c>
      <c r="CI10" s="10" t="s">
        <v>367</v>
      </c>
      <c r="CJ10" s="10" t="s">
        <v>368</v>
      </c>
      <c r="CK10" s="10" t="s">
        <v>369</v>
      </c>
      <c r="CL10" s="10" t="s">
        <v>370</v>
      </c>
      <c r="CM10" s="10" t="s">
        <v>371</v>
      </c>
      <c r="CN10" s="10" t="s">
        <v>372</v>
      </c>
      <c r="CO10" s="10" t="s">
        <v>373</v>
      </c>
      <c r="CP10" s="10" t="s">
        <v>374</v>
      </c>
      <c r="CQ10" s="10" t="s">
        <v>375</v>
      </c>
      <c r="CR10" s="10" t="s">
        <v>376</v>
      </c>
      <c r="CS10" s="10" t="s">
        <v>377</v>
      </c>
      <c r="CT10" s="10" t="s">
        <v>378</v>
      </c>
      <c r="CU10" s="10" t="s">
        <v>379</v>
      </c>
      <c r="CV10" s="10" t="s">
        <v>380</v>
      </c>
      <c r="CW10" s="10" t="s">
        <v>381</v>
      </c>
      <c r="CX10" s="10" t="s">
        <v>382</v>
      </c>
      <c r="CY10" s="10" t="s">
        <v>383</v>
      </c>
      <c r="CZ10" s="10" t="s">
        <v>384</v>
      </c>
      <c r="DA10" s="10" t="s">
        <v>385</v>
      </c>
      <c r="DB10" s="10" t="s">
        <v>386</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230</v>
      </c>
      <c r="S10" s="32" t="s">
        <v>203</v>
      </c>
      <c r="T10" s="106" t="s">
        <v>230</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266</v>
      </c>
      <c r="J125" s="13">
        <f t="shared" ref="J125:J142" si="9">LEN(A126)</f>
        <v>12</v>
      </c>
      <c r="K125" s="13" t="str">
        <f t="shared" ref="K125:K142" si="10">RIGHT(A126,J125-3)</f>
        <v>Del Norte</v>
      </c>
      <c r="L125" s="39">
        <f t="shared" ref="L125:L142" si="11">B126</f>
        <v>0.96925774654620334</v>
      </c>
      <c r="S125" s="32" t="s">
        <v>87</v>
      </c>
      <c r="T125" s="106" t="s">
        <v>266</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266</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A16" s="106">
        <v>2017</v>
      </c>
      <c r="C16" s="39"/>
      <c r="D16" s="39"/>
      <c r="E16" s="39"/>
      <c r="BJ16" s="39"/>
      <c r="BK16" s="39"/>
    </row>
    <row r="17" spans="2:63">
      <c r="B17" s="106" t="s">
        <v>3</v>
      </c>
      <c r="C17" s="39">
        <v>0.32711930926216642</v>
      </c>
      <c r="D17" s="39">
        <v>0.461048653394667</v>
      </c>
      <c r="E17" s="39">
        <v>0.35591107417411177</v>
      </c>
      <c r="BJ17" s="39"/>
      <c r="BK17" s="39"/>
    </row>
    <row r="18" spans="2:63">
      <c r="B18" s="106" t="s">
        <v>62</v>
      </c>
      <c r="C18" s="39">
        <v>0.33320111067036889</v>
      </c>
      <c r="D18" s="39">
        <v>0.456881389257982</v>
      </c>
      <c r="E18" s="39">
        <v>0.34161361749238861</v>
      </c>
      <c r="BI18" s="39"/>
      <c r="BJ18" s="39"/>
      <c r="BK18" s="39"/>
    </row>
    <row r="19" spans="2:63">
      <c r="BI19" s="39"/>
      <c r="BJ19" s="39"/>
      <c r="BK19" s="39"/>
    </row>
    <row r="20" spans="2:63">
      <c r="BI20" s="39"/>
      <c r="BJ20" s="39"/>
      <c r="BK20" s="39"/>
    </row>
    <row r="21" spans="2:63">
      <c r="BI21" s="39"/>
      <c r="BJ21" s="39"/>
      <c r="BK21" s="39"/>
    </row>
    <row r="22" spans="2:63">
      <c r="BI22" s="39"/>
      <c r="BJ22" s="39"/>
      <c r="BK22" s="39"/>
    </row>
    <row r="23" spans="2:63">
      <c r="BI23" s="39"/>
      <c r="BJ23" s="39"/>
      <c r="BK23" s="39"/>
    </row>
    <row r="24" spans="2:63">
      <c r="BI24" s="39"/>
      <c r="BJ24" s="39"/>
      <c r="BK24" s="39"/>
    </row>
    <row r="25" spans="2:63">
      <c r="BI25" s="39"/>
      <c r="BJ25" s="39"/>
      <c r="BK25" s="39"/>
    </row>
    <row r="26" spans="2:63">
      <c r="BI26" s="39"/>
      <c r="BJ26" s="39"/>
      <c r="BK26" s="39"/>
    </row>
    <row r="27" spans="2:63">
      <c r="BI27" s="39"/>
      <c r="BJ27" s="39"/>
      <c r="BK27" s="39"/>
    </row>
    <row r="28" spans="2:63">
      <c r="BI28" s="39"/>
      <c r="BJ28" s="39"/>
      <c r="BK28" s="39"/>
    </row>
    <row r="29" spans="2:63">
      <c r="BI29" s="39"/>
      <c r="BJ29" s="39"/>
      <c r="BK29" s="39"/>
    </row>
    <row r="30" spans="2:63">
      <c r="BI30" s="39"/>
      <c r="BJ30" s="39"/>
      <c r="BK30" s="39"/>
    </row>
    <row r="31" spans="2:63">
      <c r="BI31" s="39"/>
      <c r="BJ31" s="39"/>
      <c r="BK31" s="39"/>
    </row>
    <row r="32" spans="2: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A52" s="106">
        <v>2017</v>
      </c>
      <c r="C52" s="39"/>
      <c r="D52" s="39"/>
      <c r="E52" s="39"/>
      <c r="BJ52" s="39"/>
      <c r="BK52" s="39"/>
    </row>
    <row r="53" spans="1:63">
      <c r="B53" s="106" t="s">
        <v>3</v>
      </c>
      <c r="C53" s="39">
        <v>0.93180547792062607</v>
      </c>
      <c r="D53" s="39">
        <v>0.96860188148112503</v>
      </c>
      <c r="E53" s="39">
        <v>0.93317595787179952</v>
      </c>
      <c r="BJ53" s="39"/>
      <c r="BK53" s="39"/>
    </row>
    <row r="54" spans="1:63">
      <c r="B54" s="106" t="s">
        <v>62</v>
      </c>
      <c r="C54" s="39">
        <v>0.95184135977337114</v>
      </c>
      <c r="D54" s="39">
        <v>0.96981430457961748</v>
      </c>
      <c r="E54" s="39">
        <v>0.9419958023278</v>
      </c>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A95" s="106">
        <v>2017</v>
      </c>
      <c r="C95" s="107"/>
      <c r="D95" s="107"/>
      <c r="E95" s="107"/>
      <c r="BJ95" s="34"/>
      <c r="BK95" s="34"/>
      <c r="BL95" s="34"/>
    </row>
    <row r="96" spans="1:64">
      <c r="B96" s="106" t="s">
        <v>3</v>
      </c>
      <c r="C96" s="107">
        <v>1667</v>
      </c>
      <c r="D96" s="107">
        <v>120774</v>
      </c>
      <c r="E96" s="107">
        <v>5139</v>
      </c>
      <c r="BJ96" s="34"/>
      <c r="BK96" s="34"/>
      <c r="BL96" s="34"/>
    </row>
    <row r="97" spans="2:64">
      <c r="B97" s="106" t="s">
        <v>62</v>
      </c>
      <c r="C97" s="107">
        <v>1680</v>
      </c>
      <c r="D97" s="107">
        <v>118971</v>
      </c>
      <c r="E97" s="107">
        <v>4937</v>
      </c>
      <c r="BJ97" s="34"/>
      <c r="BK97" s="34"/>
      <c r="BL97" s="34"/>
    </row>
    <row r="98" spans="2:64">
      <c r="BJ98" s="34"/>
      <c r="BK98" s="34"/>
      <c r="BL98" s="34"/>
    </row>
    <row r="99" spans="2:64">
      <c r="BJ99" s="34"/>
      <c r="BK99" s="34"/>
      <c r="BL99" s="34"/>
    </row>
    <row r="100" spans="2:64">
      <c r="BJ100" s="34"/>
      <c r="BK100" s="34"/>
      <c r="BL100" s="34"/>
    </row>
    <row r="101" spans="2:64">
      <c r="BJ101" s="34"/>
      <c r="BK101" s="34"/>
      <c r="BL101" s="34"/>
    </row>
    <row r="102" spans="2:64">
      <c r="BJ102" s="34"/>
      <c r="BK102" s="34"/>
      <c r="BL102" s="34"/>
    </row>
    <row r="103" spans="2:64">
      <c r="BJ103" s="34"/>
      <c r="BK103" s="34"/>
      <c r="BL103" s="34"/>
    </row>
    <row r="104" spans="2:64">
      <c r="BJ104" s="34"/>
      <c r="BK104" s="34"/>
      <c r="BL104" s="34"/>
    </row>
    <row r="105" spans="2:64">
      <c r="BJ105" s="34"/>
      <c r="BK105" s="34"/>
      <c r="BL105" s="34"/>
    </row>
    <row r="106" spans="2:64">
      <c r="BJ106" s="34"/>
      <c r="BK106" s="34"/>
      <c r="BL106" s="34"/>
    </row>
    <row r="107" spans="2:64">
      <c r="BJ107" s="34"/>
      <c r="BK107" s="34"/>
      <c r="BL107" s="34"/>
    </row>
    <row r="108" spans="2:64">
      <c r="BJ108" s="34"/>
      <c r="BK108" s="34"/>
      <c r="BL108" s="34"/>
    </row>
    <row r="109" spans="2:64">
      <c r="BJ109" s="34"/>
      <c r="BK109" s="34"/>
      <c r="BL109" s="34"/>
    </row>
    <row r="110" spans="2:64">
      <c r="BJ110" s="34"/>
      <c r="BK110" s="34"/>
      <c r="BL110" s="34"/>
    </row>
    <row r="111" spans="2:64">
      <c r="BJ111" s="34"/>
      <c r="BK111" s="34"/>
      <c r="BL111" s="34"/>
    </row>
    <row r="112" spans="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79122F-2F28-413E-AC53-62A05189709D}">
  <ds:schemaRefs>
    <ds:schemaRef ds:uri="9591c96b-b330-4d03-ae3c-f84da89bedc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2018-03-30T15:35:09Z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