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5230" windowHeight="5835" tabRatio="948"/>
  </bookViews>
  <sheets>
    <sheet name="Release Summary" sheetId="29" r:id="rId1"/>
    <sheet name="Jul16 Statewide" sheetId="5" r:id="rId2"/>
    <sheet name="Jul16" sheetId="6" r:id="rId3"/>
    <sheet name="Aug16 Statewide" sheetId="7" r:id="rId4"/>
    <sheet name="Aug16" sheetId="8" r:id="rId5"/>
    <sheet name="Sep16 Statewide" sheetId="9" r:id="rId6"/>
    <sheet name="Sep16" sheetId="10" r:id="rId7"/>
    <sheet name="Oct16 Statewide" sheetId="11" r:id="rId8"/>
    <sheet name="Oct16" sheetId="12" r:id="rId9"/>
    <sheet name="Nov16 Statewide" sheetId="13" r:id="rId10"/>
    <sheet name="Nov16" sheetId="14" r:id="rId11"/>
    <sheet name="Dec16 Statewide" sheetId="15" r:id="rId12"/>
    <sheet name="Dec16" sheetId="16" r:id="rId13"/>
    <sheet name="Jan17 Statewide" sheetId="17" r:id="rId14"/>
    <sheet name="Jan17" sheetId="18" r:id="rId15"/>
    <sheet name="Feb17 Statewide" sheetId="19" r:id="rId16"/>
    <sheet name="Feb17" sheetId="20" r:id="rId17"/>
    <sheet name="Mar17 Statewide" sheetId="21" r:id="rId18"/>
    <sheet name="Mar17" sheetId="22" r:id="rId19"/>
    <sheet name="Apr17 Statewide" sheetId="23" r:id="rId20"/>
    <sheet name="Apr17" sheetId="24" r:id="rId21"/>
    <sheet name="May17 Statewide" sheetId="25" r:id="rId22"/>
    <sheet name="May17" sheetId="26" r:id="rId23"/>
    <sheet name="Jun17 Statewide" sheetId="27" r:id="rId24"/>
    <sheet name="Jun17" sheetId="28" r:id="rId25"/>
  </sheets>
  <externalReferences>
    <externalReference r:id="rId26"/>
    <externalReference r:id="rId27"/>
  </externalReferences>
  <definedNames>
    <definedName name="DataDictionary2" hidden="1">'[2]ACL VALIDATIONS 07-15'!#REF!</definedName>
    <definedName name="_xlnm.Print_Area" localSheetId="20">'Apr17'!$A$1:$AZ$67</definedName>
    <definedName name="_xlnm.Print_Area" localSheetId="19">'Apr17 Statewide'!$A$1:$O$42</definedName>
    <definedName name="_xlnm.Print_Area" localSheetId="4">'Aug16'!$A$1:$AZ$67</definedName>
    <definedName name="_xlnm.Print_Area" localSheetId="3">'Aug16 Statewide'!$A$1:$O$42</definedName>
    <definedName name="_xlnm.Print_Area" localSheetId="12">'Dec16'!$A$1:$AZ$67</definedName>
    <definedName name="_xlnm.Print_Area" localSheetId="11">'Dec16 Statewide'!$A$1:$O$42</definedName>
    <definedName name="_xlnm.Print_Area" localSheetId="16">'Feb17'!$A$1:$AZ$67</definedName>
    <definedName name="_xlnm.Print_Area" localSheetId="15">'Feb17 Statewide'!$A$1:$O$42</definedName>
    <definedName name="_xlnm.Print_Area" localSheetId="14">'Jan17'!$A$1:$AZ$67</definedName>
    <definedName name="_xlnm.Print_Area" localSheetId="13">'Jan17 Statewide'!$A$1:$O$42</definedName>
    <definedName name="_xlnm.Print_Area" localSheetId="2">'Jul16'!$A$1:$AZ$67</definedName>
    <definedName name="_xlnm.Print_Area" localSheetId="1">'Jul16 Statewide'!$A$1:$O$42</definedName>
    <definedName name="_xlnm.Print_Area" localSheetId="24">'Jun17'!$A$1:$AZ$67</definedName>
    <definedName name="_xlnm.Print_Area" localSheetId="23">'Jun17 Statewide'!$A$1:$O$42</definedName>
    <definedName name="_xlnm.Print_Area" localSheetId="18">'Mar17'!$A$1:$AZ$67</definedName>
    <definedName name="_xlnm.Print_Area" localSheetId="17">'Mar17 Statewide'!$A$1:$O$42</definedName>
    <definedName name="_xlnm.Print_Area" localSheetId="22">'May17'!$A$1:$AZ$67</definedName>
    <definedName name="_xlnm.Print_Area" localSheetId="21">'May17 Statewide'!$A$1:$O$42</definedName>
    <definedName name="_xlnm.Print_Area" localSheetId="10">'Nov16'!$A$1:$AZ$67</definedName>
    <definedName name="_xlnm.Print_Area" localSheetId="9">'Nov16 Statewide'!$A$1:$O$42</definedName>
    <definedName name="_xlnm.Print_Area" localSheetId="8">'Oct16'!$A$1:$AZ$67</definedName>
    <definedName name="_xlnm.Print_Area" localSheetId="7">'Oct16 Statewide'!$A$1:$O$42</definedName>
    <definedName name="_xlnm.Print_Area" localSheetId="6">'Sep16'!$A$1:$AZ$67</definedName>
    <definedName name="_xlnm.Print_Area" localSheetId="5">'Sep16 Statewide'!$A$1:$O$42</definedName>
    <definedName name="TitleRegion1.a2.d32.2">[1]!DataDictionary[[#Headers],[Cell]]</definedName>
    <definedName name="TitleRegion1.a4.c16.1">ReleaseSummary[[#Headers],[REPORT MONTH]]</definedName>
    <definedName name="TitleRegion1.a5.ae67.10">Oct16Data[[#Headers],[County]]</definedName>
    <definedName name="TitleRegion1.a5.ae67.12">Nov16Data[[#Headers],[County]]</definedName>
    <definedName name="TitleRegion1.a5.ae67.14">Dec16Data[[#Headers],[County]]</definedName>
    <definedName name="TitleRegion1.a5.ae67.16">Jan17Data[[#Headers],[County]]</definedName>
    <definedName name="TitleRegion1.a5.ae67.18">Feb17Data[[#Headers],[County]]</definedName>
    <definedName name="TitleRegion1.a5.ae67.20">Mar17Data[[#Headers],[County]]</definedName>
    <definedName name="TitleRegion1.a5.ae67.22">Apr17Data[[#Headers],[County]]</definedName>
    <definedName name="TitleRegion1.a5.ae67.24">May17Data[[#Headers],[County]]</definedName>
    <definedName name="TitleRegion1.a5.ae67.26">Jun17Data[[#Headers],[County]]</definedName>
    <definedName name="TitleRegion1.a5.ae67.4">Jul16Data[[#Headers],[County]]</definedName>
    <definedName name="TitleRegion1.a5.ae67.6">Aug16Data[[#Headers],[County]]</definedName>
    <definedName name="TitleRegion1.a5.ae67.8">Sep16Data[[#Headers],[County]]</definedName>
  </definedNames>
  <calcPr calcId="145621"/>
</workbook>
</file>

<file path=xl/calcChain.xml><?xml version="1.0" encoding="utf-8"?>
<calcChain xmlns="http://schemas.openxmlformats.org/spreadsheetml/2006/main">
  <c r="B67" i="28" l="1"/>
  <c r="C67" i="28"/>
  <c r="D67" i="28"/>
  <c r="E67" i="28"/>
  <c r="F67" i="28"/>
  <c r="G67" i="28"/>
  <c r="H67" i="28"/>
  <c r="I67" i="28"/>
  <c r="J67" i="28"/>
  <c r="K67" i="28"/>
  <c r="L67" i="28"/>
  <c r="M67" i="28"/>
  <c r="N67" i="28"/>
  <c r="O67" i="28"/>
  <c r="P67" i="28"/>
  <c r="Q67" i="28"/>
  <c r="R67" i="28"/>
  <c r="S67" i="28"/>
  <c r="T67" i="28"/>
  <c r="U67" i="28"/>
  <c r="V67" i="28"/>
  <c r="Z67" i="28"/>
  <c r="AA67" i="28"/>
  <c r="AB67" i="28"/>
  <c r="AC67" i="28"/>
  <c r="AD67" i="28"/>
  <c r="AE67" i="28"/>
  <c r="B67" i="26"/>
  <c r="C67" i="26"/>
  <c r="D67" i="26"/>
  <c r="E67" i="26"/>
  <c r="F67" i="26"/>
  <c r="G67" i="26"/>
  <c r="H67" i="26"/>
  <c r="I67" i="26"/>
  <c r="J67" i="26"/>
  <c r="K67" i="26"/>
  <c r="L67" i="26"/>
  <c r="M67" i="26"/>
  <c r="N67" i="26"/>
  <c r="O67" i="26"/>
  <c r="P67" i="26"/>
  <c r="Q67" i="26"/>
  <c r="R67" i="26"/>
  <c r="S67" i="26"/>
  <c r="T67" i="26"/>
  <c r="U67" i="26"/>
  <c r="V67" i="26"/>
  <c r="Z67" i="26"/>
  <c r="AA67" i="26"/>
  <c r="AB67" i="26"/>
  <c r="AC67" i="26"/>
  <c r="AD67" i="26"/>
  <c r="AE67" i="26"/>
  <c r="B67" i="24"/>
  <c r="C67" i="24"/>
  <c r="D67" i="24"/>
  <c r="E67" i="24"/>
  <c r="F67" i="24"/>
  <c r="G67" i="24"/>
  <c r="H67" i="24"/>
  <c r="I67" i="24"/>
  <c r="J67" i="24"/>
  <c r="K67" i="24"/>
  <c r="L67" i="24"/>
  <c r="M67" i="24"/>
  <c r="N67" i="24"/>
  <c r="O67" i="24"/>
  <c r="P67" i="24"/>
  <c r="Q67" i="24"/>
  <c r="R67" i="24"/>
  <c r="S67" i="24"/>
  <c r="T67" i="24"/>
  <c r="U67" i="24"/>
  <c r="V67" i="24"/>
  <c r="Z67" i="24"/>
  <c r="AA67" i="24"/>
  <c r="AB67" i="24"/>
  <c r="AC67" i="24"/>
  <c r="AD67" i="24"/>
  <c r="AE67" i="24"/>
  <c r="B67" i="20"/>
  <c r="C67" i="20"/>
  <c r="D67" i="20"/>
  <c r="E67" i="20"/>
  <c r="F67" i="20"/>
  <c r="G67" i="20"/>
  <c r="H67" i="20"/>
  <c r="I67" i="20"/>
  <c r="J67" i="20"/>
  <c r="K67" i="20"/>
  <c r="L67" i="20"/>
  <c r="M67" i="20"/>
  <c r="N67" i="20"/>
  <c r="O67" i="20"/>
  <c r="P67" i="20"/>
  <c r="Q67" i="20"/>
  <c r="R67" i="20"/>
  <c r="S67" i="20"/>
  <c r="T67" i="20"/>
  <c r="U67" i="20"/>
  <c r="V67" i="20"/>
  <c r="Z67" i="20"/>
  <c r="AA67" i="20"/>
  <c r="AB67" i="20"/>
  <c r="AC67" i="20"/>
  <c r="AD67" i="20"/>
  <c r="AE67" i="20"/>
  <c r="B67" i="18"/>
  <c r="C67" i="18"/>
  <c r="D67" i="18"/>
  <c r="E67" i="18"/>
  <c r="F67" i="18"/>
  <c r="G67" i="18"/>
  <c r="H67" i="18"/>
  <c r="I67" i="18"/>
  <c r="J67" i="18"/>
  <c r="K67" i="18"/>
  <c r="L67" i="18"/>
  <c r="M67" i="18"/>
  <c r="N67" i="18"/>
  <c r="O67" i="18"/>
  <c r="P67" i="18"/>
  <c r="Q67" i="18"/>
  <c r="R67" i="18"/>
  <c r="S67" i="18"/>
  <c r="T67" i="18"/>
  <c r="U67" i="18"/>
  <c r="V67" i="18"/>
  <c r="Z67" i="18"/>
  <c r="AA67" i="18"/>
  <c r="AB67" i="18"/>
  <c r="AC67" i="18"/>
  <c r="AD67" i="18"/>
  <c r="AE67" i="18"/>
  <c r="B67" i="16"/>
  <c r="C67" i="16"/>
  <c r="D67" i="16"/>
  <c r="E67" i="16"/>
  <c r="F67" i="16"/>
  <c r="G67" i="16"/>
  <c r="H67" i="16"/>
  <c r="I67" i="16"/>
  <c r="J67" i="16"/>
  <c r="K67" i="16"/>
  <c r="L67" i="16"/>
  <c r="M67" i="16"/>
  <c r="N67" i="16"/>
  <c r="O67" i="16"/>
  <c r="P67" i="16"/>
  <c r="Q67" i="16"/>
  <c r="R67" i="16"/>
  <c r="S67" i="16"/>
  <c r="T67" i="16"/>
  <c r="U67" i="16"/>
  <c r="V67" i="16"/>
  <c r="Z67" i="16"/>
  <c r="AA67" i="16"/>
  <c r="AB67" i="16"/>
  <c r="AC67" i="16"/>
  <c r="AD67" i="16"/>
  <c r="AE67" i="16"/>
  <c r="B67" i="14"/>
  <c r="C67" i="14"/>
  <c r="D67" i="14"/>
  <c r="E67" i="14"/>
  <c r="F67" i="14"/>
  <c r="G67" i="14"/>
  <c r="H67" i="14"/>
  <c r="I67" i="14"/>
  <c r="J67" i="14"/>
  <c r="K67" i="14"/>
  <c r="L67" i="14"/>
  <c r="M67" i="14"/>
  <c r="N67" i="14"/>
  <c r="O67" i="14"/>
  <c r="P67" i="14"/>
  <c r="Q67" i="14"/>
  <c r="R67" i="14"/>
  <c r="S67" i="14"/>
  <c r="T67" i="14"/>
  <c r="U67" i="14"/>
  <c r="V67" i="14"/>
  <c r="Z67" i="14"/>
  <c r="AA67" i="14"/>
  <c r="AB67" i="14"/>
  <c r="AC67" i="14"/>
  <c r="AD67" i="14"/>
  <c r="AE67" i="14"/>
  <c r="B67" i="12"/>
  <c r="C67" i="12"/>
  <c r="D67" i="12"/>
  <c r="E67" i="12"/>
  <c r="F67" i="12"/>
  <c r="G67" i="12"/>
  <c r="H67" i="12"/>
  <c r="I67" i="12"/>
  <c r="J67" i="12"/>
  <c r="K67" i="12"/>
  <c r="L67" i="12"/>
  <c r="M67" i="12"/>
  <c r="N67" i="12"/>
  <c r="O67" i="12"/>
  <c r="P67" i="12"/>
  <c r="Q67" i="12"/>
  <c r="R67" i="12"/>
  <c r="S67" i="12"/>
  <c r="T67" i="12"/>
  <c r="U67" i="12"/>
  <c r="V67" i="12"/>
  <c r="Z67" i="12"/>
  <c r="AA67" i="12"/>
  <c r="AB67" i="12"/>
  <c r="AC67" i="12"/>
  <c r="AD67" i="12"/>
  <c r="AE67" i="12"/>
  <c r="B67" i="10"/>
  <c r="C67" i="10"/>
  <c r="D67" i="10"/>
  <c r="E67" i="10"/>
  <c r="F67" i="10"/>
  <c r="G67" i="10"/>
  <c r="H67" i="10"/>
  <c r="I67" i="10"/>
  <c r="J67" i="10"/>
  <c r="K67" i="10"/>
  <c r="L67" i="10"/>
  <c r="M67" i="10"/>
  <c r="N67" i="10"/>
  <c r="O67" i="10"/>
  <c r="P67" i="10"/>
  <c r="Q67" i="10"/>
  <c r="R67" i="10"/>
  <c r="S67" i="10"/>
  <c r="T67" i="10"/>
  <c r="U67" i="10"/>
  <c r="V67" i="10"/>
  <c r="Z67" i="10"/>
  <c r="AA67" i="10"/>
  <c r="AB67" i="10"/>
  <c r="AC67" i="10"/>
  <c r="AD67" i="10"/>
  <c r="AE67" i="10"/>
  <c r="B67" i="8"/>
  <c r="C67" i="8"/>
  <c r="D67" i="8"/>
  <c r="E67" i="8"/>
  <c r="F67" i="8"/>
  <c r="G67" i="8"/>
  <c r="H67" i="8"/>
  <c r="I67" i="8"/>
  <c r="J67" i="8"/>
  <c r="K67" i="8"/>
  <c r="L67" i="8"/>
  <c r="M67" i="8"/>
  <c r="N67" i="8"/>
  <c r="O67" i="8"/>
  <c r="P67" i="8"/>
  <c r="Q67" i="8"/>
  <c r="R67" i="8"/>
  <c r="S67" i="8"/>
  <c r="T67" i="8"/>
  <c r="U67" i="8"/>
  <c r="V67" i="8"/>
  <c r="Z67" i="8"/>
  <c r="AA67" i="8"/>
  <c r="AB67" i="8"/>
  <c r="AC67" i="8"/>
  <c r="AD67" i="8"/>
  <c r="AE67" i="8"/>
</calcChain>
</file>

<file path=xl/sharedStrings.xml><?xml version="1.0" encoding="utf-8"?>
<sst xmlns="http://schemas.openxmlformats.org/spreadsheetml/2006/main" count="4806" uniqueCount="219">
  <si>
    <t>June 2017</t>
  </si>
  <si>
    <t>REPORT MONTH</t>
  </si>
  <si>
    <t>RELEASE DATE</t>
  </si>
  <si>
    <t>COMMENTS  a/</t>
  </si>
  <si>
    <t>Food Stamp Program</t>
  </si>
  <si>
    <t>Participation and Benefit Issuance Report</t>
  </si>
  <si>
    <t>DFA 256</t>
  </si>
  <si>
    <t>STATEWIDE</t>
  </si>
  <si>
    <t>July 2016</t>
  </si>
  <si>
    <t>PART A.  PARTICIPATION DURING THE MONTH</t>
  </si>
  <si>
    <t>Public Assistance</t>
  </si>
  <si>
    <t>Non-Public Assistance</t>
  </si>
  <si>
    <t>(A)</t>
  </si>
  <si>
    <t>(B)</t>
  </si>
  <si>
    <t>Federal</t>
  </si>
  <si>
    <t>Federal/State</t>
  </si>
  <si>
    <t>State</t>
  </si>
  <si>
    <t>1.</t>
  </si>
  <si>
    <t>Number of households...............................................................................................................................................................................................................</t>
  </si>
  <si>
    <t>2.</t>
  </si>
  <si>
    <t xml:space="preserve">Number of persons in </t>
  </si>
  <si>
    <t>federal-only households.....................................................................................................................................................................................................................</t>
  </si>
  <si>
    <t>3.</t>
  </si>
  <si>
    <t>Number of federal and state persons</t>
  </si>
  <si>
    <t>in federal/state households...................................................................................................................................................................................................................</t>
  </si>
  <si>
    <t>4.</t>
  </si>
  <si>
    <t xml:space="preserve">Number of persons in state-only </t>
  </si>
  <si>
    <t>households.....................................................................................................................................................................................................................</t>
  </si>
  <si>
    <t>5.</t>
  </si>
  <si>
    <t>Total number of federal-only households (Cell 1 plus Cell 4)...................................................................................................................................................................................................</t>
  </si>
  <si>
    <t>6.</t>
  </si>
  <si>
    <t>Total number of federal/state households (Cell 2 plus Cell 5)..................................................................................................................................................................................................</t>
  </si>
  <si>
    <t>7.</t>
  </si>
  <si>
    <t>Total number of state-only households (Cell 3 plus Cell 6).....................................................................................................................................................................................................</t>
  </si>
  <si>
    <t>8.</t>
  </si>
  <si>
    <t>Total number of persons in federal-only households (Cell 7 plus Cell 8)……………………………..…..........................................................................................................................................................................</t>
  </si>
  <si>
    <t>9.</t>
  </si>
  <si>
    <t>Total number of federal persons in federal/state households (Cell 9 plus Cell 11)……………………………..……………………………………………………………………………………………………………………………………………....................................................................................</t>
  </si>
  <si>
    <t>10.</t>
  </si>
  <si>
    <t>Total number of state persons in federal/state households (Cell 10 plus Cell 12)……………………………..…………………………………………………………………………………………………………………………………………………………………...................................................................................</t>
  </si>
  <si>
    <t>11.</t>
  </si>
  <si>
    <t>Total number of persons in state-only households (Cell 13 plus Cell 14)……………………………..…..........................................................................................................................................................................</t>
  </si>
  <si>
    <r>
      <t>PART B.  ISSUANCES DURING THE MONTH</t>
    </r>
    <r>
      <rPr>
        <b/>
        <vertAlign val="superscript"/>
        <sz val="10"/>
        <rFont val="Univers"/>
        <family val="2"/>
      </rPr>
      <t/>
    </r>
  </si>
  <si>
    <t>12.</t>
  </si>
  <si>
    <t>Coupons issued by mail…........................................................................................................................................................................................................................................</t>
  </si>
  <si>
    <t>13.</t>
  </si>
  <si>
    <t>Contracted over the counter agents (outside of state/local governments)……………………...….…………………………………………………………...……………………………………………..………………….……………………</t>
  </si>
  <si>
    <t>14.</t>
  </si>
  <si>
    <t>Other over the counter agents (state/local governments, including HIR systems)……………………………………………………....…………………….……………………………………………………….……………………………………………..……..</t>
  </si>
  <si>
    <t>15.</t>
  </si>
  <si>
    <t>EBT issuances………………………………………………………………..……………………………………………………………………………………………………………………………………………………………………………………………………………………………………………………………………………………………………………………………..……….</t>
  </si>
  <si>
    <t>16.</t>
  </si>
  <si>
    <t>Total (Cells 22 through 25)…...................................................................................................................................................................................................................................</t>
  </si>
  <si>
    <t>17.</t>
  </si>
  <si>
    <t>EBT converted to coupons………………………………………………………………..…………………………………………………………………………………………………………………………………………………………………………………...….</t>
  </si>
  <si>
    <t>PART C.  VALUE OF BENEFIT ISSUANCES DURING THE MONTH</t>
  </si>
  <si>
    <t>Round to nearest dollar--do not use cents.</t>
  </si>
  <si>
    <t>18.</t>
  </si>
  <si>
    <t>Value of federal benefit issuances……………………………………………………………………………………………………………………………………………..……………………………………………………………………………………………….…….………………………</t>
  </si>
  <si>
    <t>19.</t>
  </si>
  <si>
    <t>Value of state benefit issuances……………………………………………………………………………………………………………………………………………………………...……………………………..……………………………………....…………………………………………………….</t>
  </si>
  <si>
    <t>20.</t>
  </si>
  <si>
    <t>Total (Cell 28 plus Cell 29)…...............................................................................................................................................................................................................................</t>
  </si>
  <si>
    <t>CDSS Use Only:</t>
  </si>
  <si>
    <t xml:space="preserve">Not accessible page.  Please go to next sheet for accessible version. </t>
  </si>
  <si>
    <t>PART B.  ISSUANCES DURING THE MONTH</t>
  </si>
  <si>
    <t>Number of Households</t>
  </si>
  <si>
    <t>Number of persons in federal only households</t>
  </si>
  <si>
    <t>Number of federal and state persons in federal/state households</t>
  </si>
  <si>
    <t>Number of persons in state only households</t>
  </si>
  <si>
    <t>A.  Public Assistance</t>
  </si>
  <si>
    <t>B.  Non-Public Assistance</t>
  </si>
  <si>
    <t>Total</t>
  </si>
  <si>
    <t>A. Public Assistance</t>
  </si>
  <si>
    <t>B. Non-Public Assistance</t>
  </si>
  <si>
    <t>A.</t>
  </si>
  <si>
    <t>B.</t>
  </si>
  <si>
    <t>Contracted</t>
  </si>
  <si>
    <t>Other</t>
  </si>
  <si>
    <t>EBT</t>
  </si>
  <si>
    <t>Federal/</t>
  </si>
  <si>
    <t>Public</t>
  </si>
  <si>
    <t>Non-Public</t>
  </si>
  <si>
    <t>Over the</t>
  </si>
  <si>
    <t>Converted</t>
  </si>
  <si>
    <t>TOTAL</t>
  </si>
  <si>
    <t>Assistance</t>
  </si>
  <si>
    <t>Mail</t>
  </si>
  <si>
    <t>Counter</t>
  </si>
  <si>
    <t>Issuances</t>
  </si>
  <si>
    <t>to Coupons</t>
  </si>
  <si>
    <t>Only</t>
  </si>
  <si>
    <t>ISSUANCES</t>
  </si>
  <si>
    <t>County</t>
  </si>
  <si>
    <t>Cell 1</t>
  </si>
  <si>
    <t>Cell 2</t>
  </si>
  <si>
    <t>Cell 3</t>
  </si>
  <si>
    <t>Cell 4</t>
  </si>
  <si>
    <t>Cell 5</t>
  </si>
  <si>
    <t>Cell 6</t>
  </si>
  <si>
    <t>Cell 15</t>
  </si>
  <si>
    <t>Cell 16</t>
  </si>
  <si>
    <t>Cell 17</t>
  </si>
  <si>
    <t>Cell 7</t>
  </si>
  <si>
    <t>Cell 8</t>
  </si>
  <si>
    <t>Cell 18</t>
  </si>
  <si>
    <t>Cell 9</t>
  </si>
  <si>
    <t>Cell 10</t>
  </si>
  <si>
    <t>Cell 11</t>
  </si>
  <si>
    <t>Cell 12</t>
  </si>
  <si>
    <t>Cell 19</t>
  </si>
  <si>
    <t>Cell 20</t>
  </si>
  <si>
    <t>Cell 13</t>
  </si>
  <si>
    <t>Cell 14</t>
  </si>
  <si>
    <t>Cell 21</t>
  </si>
  <si>
    <t>Cell 22</t>
  </si>
  <si>
    <t>Cell 23</t>
  </si>
  <si>
    <t>Cell 24</t>
  </si>
  <si>
    <t>Cell 25</t>
  </si>
  <si>
    <t>Cell 26</t>
  </si>
  <si>
    <t>Cell 27</t>
  </si>
  <si>
    <t>Cell 28</t>
  </si>
  <si>
    <t>Cell 29</t>
  </si>
  <si>
    <t>Cell 30</t>
  </si>
  <si>
    <t>Alameda</t>
  </si>
  <si>
    <t>N/A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</si>
  <si>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</si>
  <si>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</si>
  <si>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</si>
  <si>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</si>
  <si>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</si>
  <si>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</si>
  <si>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</si>
  <si>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</si>
  <si>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</si>
  <si>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</si>
  <si>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</si>
  <si>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</si>
  <si>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</si>
  <si>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</si>
  <si>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</si>
  <si>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</si>
  <si>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</si>
  <si>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</si>
  <si>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</si>
  <si>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</si>
  <si>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</si>
  <si>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</si>
  <si>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</si>
  <si>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</si>
  <si>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</si>
  <si>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</si>
  <si>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</si>
  <si>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</si>
  <si>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</si>
  <si>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</si>
  <si>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</si>
  <si>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</si>
  <si>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</si>
  <si>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</si>
  <si>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</si>
  <si>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</si>
  <si>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</si>
  <si>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</si>
  <si>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</si>
  <si>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</si>
  <si>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</si>
  <si>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</si>
  <si>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</si>
  <si>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</si>
  <si>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</si>
  <si>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</si>
  <si>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</si>
  <si>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</si>
  <si>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</si>
  <si>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</si>
  <si>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</si>
  <si>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</si>
  <si>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</si>
  <si>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</si>
  <si>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</si>
  <si>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</si>
  <si>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</si>
  <si>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Statewide</t>
  </si>
  <si>
    <t>July 2016 (Accessible sheet). Data table begins in Cell A8. Item descriptions are contained within input messages in Row 8.</t>
  </si>
  <si>
    <t>August 2016</t>
  </si>
  <si>
    <t>August 2016 (Accessible sheet). Data table begins in Cell A8. Item descriptions are contained within input messages in Row 8.</t>
  </si>
  <si>
    <t>September 2016</t>
  </si>
  <si>
    <t>September 2016 (Accessible sheet). Data table begins in Cell A8. Item descriptions are contained within input messages in Row 8.</t>
  </si>
  <si>
    <t>October 2016</t>
  </si>
  <si>
    <t>October 2016 (Accessible sheet). Data table begins in Cell A8. Item descriptions are contained within input messages in Row 8.</t>
  </si>
  <si>
    <t>November 2016</t>
  </si>
  <si>
    <t>November 2016 (Accessible sheet). Data table begins in Cell A8. Item descriptions are contained within input messages in Row 8.</t>
  </si>
  <si>
    <t>December 2016</t>
  </si>
  <si>
    <t>December 2016 (Accessible sheet). Data table begins in Cell A8. Item descriptions are contained within input messages in Row 8.</t>
  </si>
  <si>
    <t>January 2017</t>
  </si>
  <si>
    <t>January 2017 (Accessible sheet). Data table begins in Cell A8. Item descriptions are contained within input messages in Row 8.</t>
  </si>
  <si>
    <t>February 2017</t>
  </si>
  <si>
    <t>February 2017 (Accessible sheet). Data table begins in Cell A8. Item descriptions are contained within input messages in Row 8.</t>
  </si>
  <si>
    <t>March 2017</t>
  </si>
  <si>
    <t>March 2017 (Accessible sheet). Data table begins in Cell A8. Item descriptions are contained within input messages in Row 8.</t>
  </si>
  <si>
    <t>April 2017</t>
  </si>
  <si>
    <t>April 2017 (Accessible sheet). Data table begins in Cell A8. Item descriptions are contained within input messages in Row 8.</t>
  </si>
  <si>
    <t>May 2017</t>
  </si>
  <si>
    <t>May 2017 (Accessible sheet). Data table begins in Cell A8. Item descriptions are contained within input messages in Row 8.</t>
  </si>
  <si>
    <t>June 2017 (Accessible sheet). Data table begins in Cell A8. Item descriptions are contained within input messages in Row 8.</t>
  </si>
  <si>
    <t>Food Stamp Program Participation and Benefit Issuance Report (DFA 256)</t>
  </si>
  <si>
    <t>Fiscal Year 2016-17 Release Summary</t>
  </si>
  <si>
    <t>Only county level sheets are accessible. Please use hyperlinks in Column A to go to accessible sheets</t>
  </si>
  <si>
    <t>County revising:  Los Angeles</t>
  </si>
  <si>
    <t>County revising:  Sutter</t>
  </si>
  <si>
    <t>Counties revising:  Colusa and Sutter</t>
  </si>
  <si>
    <t>All counties reporting</t>
  </si>
  <si>
    <r>
      <t>Los Angeles</t>
    </r>
    <r>
      <rPr>
        <b/>
        <sz val="12"/>
        <color theme="1"/>
        <rFont val="Arial"/>
        <family val="2"/>
      </rPr>
      <t xml:space="preserve">  a/</t>
    </r>
  </si>
  <si>
    <r>
      <t xml:space="preserve">Los Angeles </t>
    </r>
    <r>
      <rPr>
        <b/>
        <sz val="12"/>
        <color theme="1"/>
        <rFont val="Arial"/>
        <family val="2"/>
      </rPr>
      <t xml:space="preserve"> a/</t>
    </r>
  </si>
  <si>
    <r>
      <t xml:space="preserve">Sutter </t>
    </r>
    <r>
      <rPr>
        <b/>
        <sz val="12"/>
        <color theme="1"/>
        <rFont val="Arial"/>
        <family val="2"/>
      </rPr>
      <t xml:space="preserve"> a/</t>
    </r>
  </si>
  <si>
    <r>
      <t xml:space="preserve">Sutter  </t>
    </r>
    <r>
      <rPr>
        <b/>
        <sz val="12"/>
        <color theme="1"/>
        <rFont val="Arial"/>
        <family val="2"/>
      </rPr>
      <t>a/</t>
    </r>
  </si>
  <si>
    <r>
      <t>Sutter</t>
    </r>
    <r>
      <rPr>
        <b/>
        <sz val="12"/>
        <color theme="1"/>
        <rFont val="Arial"/>
        <family val="2"/>
      </rPr>
      <t xml:space="preserve">  a/</t>
    </r>
  </si>
  <si>
    <r>
      <t xml:space="preserve">Colusa </t>
    </r>
    <r>
      <rPr>
        <b/>
        <sz val="12"/>
        <color theme="1"/>
        <rFont val="Arial"/>
        <family val="2"/>
      </rPr>
      <t xml:space="preserve"> a/</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</si>
</sst>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409]mmmm\ d\,\ yyyy;@"/>
    <numFmt numFmtId="165" formatCode="0_)"/>
    <numFmt numFmtId="166" formatCode="mm/dd/yy;@"/>
    <numFmt numFmtId="167" formatCode="mmmm\ d\,\ yyyy"/>
    <numFmt numFmtId="168" formatCode="mmm\ yyyy"/>
    <numFmt numFmtId="169" formatCode="&quot;$&quot;#,##0"/>
  </numFmts>
  <fonts count="58">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0"/>
      <name val="Univers"/>
    </font>
    <font>
      <sz val="10"/>
      <color theme="0"/>
      <name val="Arial"/>
      <family val="2"/>
    </font>
    <font>
      <b/>
      <sz val="13"/>
      <name val="Arial"/>
      <family val="2"/>
    </font>
    <font>
      <b/>
      <sz val="12"/>
      <color theme="1"/>
      <name val="Arial"/>
      <family val="2"/>
    </font>
    <font>
      <sz val="12"/>
      <color theme="1"/>
      <name val="Arial"/>
      <family val="2"/>
    </font>
    <font>
      <sz val="8"/>
      <name val="Arial"/>
      <family val="2"/>
    </font>
    <font>
      <sz val="9"/>
      <name val="Univers"/>
      <family val="2"/>
    </font>
    <font>
      <sz val="10"/>
      <name val="Courier"/>
      <family val="3"/>
    </font>
    <font>
      <sz val="10"/>
      <name val="Helv"/>
    </font>
    <font>
      <sz val="7"/>
      <color indexed="12"/>
      <name val="Arial"/>
      <family val="2"/>
    </font>
    <font>
      <u/>
      <sz val="10"/>
      <color indexed="12"/>
      <name val="Arial"/>
      <family val="2"/>
    </font>
    <font>
      <u/>
      <sz val="10"/>
      <color indexed="12"/>
      <name val="Courier"/>
      <family val="3"/>
    </font>
    <font>
      <u/>
      <sz val="10"/>
      <color theme="10"/>
      <name val="Arial"/>
      <family val="2"/>
    </font>
    <font>
      <u/>
      <sz val="10"/>
      <color indexed="12"/>
      <name val="Helv"/>
    </font>
    <font>
      <u/>
      <sz val="10"/>
      <color theme="10"/>
      <name val="Geneva"/>
    </font>
    <font>
      <u/>
      <sz val="10"/>
      <color indexed="12"/>
      <name val="Univers"/>
      <family val="2"/>
    </font>
    <font>
      <u/>
      <sz val="10"/>
      <color indexed="12"/>
      <name val="Geneva"/>
    </font>
    <font>
      <u/>
      <sz val="9"/>
      <color indexed="12"/>
      <name val="Univers"/>
      <family val="2"/>
    </font>
    <font>
      <sz val="10"/>
      <name val="Univers"/>
      <family val="2"/>
    </font>
    <font>
      <sz val="10"/>
      <name val="Geneva"/>
    </font>
    <font>
      <sz val="9"/>
      <name val="Univers"/>
    </font>
    <font>
      <sz val="5"/>
      <name val="Arial"/>
      <family val="2"/>
    </font>
    <font>
      <b/>
      <sz val="16"/>
      <name val="Arial"/>
      <family val="2"/>
    </font>
    <font>
      <sz val="7"/>
      <name val="Arial"/>
      <family val="2"/>
    </font>
    <font>
      <b/>
      <sz val="10"/>
      <name val="Arial"/>
      <family val="2"/>
    </font>
    <font>
      <sz val="7"/>
      <color indexed="10"/>
      <name val="Arial"/>
      <family val="2"/>
    </font>
    <font>
      <b/>
      <sz val="14"/>
      <name val="Arial"/>
      <family val="2"/>
    </font>
    <font>
      <sz val="14"/>
      <name val="Arial"/>
      <family val="2"/>
    </font>
    <font>
      <b/>
      <sz val="7"/>
      <name val="Arial"/>
      <family val="2"/>
    </font>
    <font>
      <sz val="9"/>
      <name val="Arial"/>
      <family val="2"/>
    </font>
    <font>
      <b/>
      <sz val="8"/>
      <name val="Arial"/>
      <family val="2"/>
    </font>
    <font>
      <b/>
      <sz val="5"/>
      <name val="Arial"/>
      <family val="2"/>
    </font>
    <font>
      <b/>
      <vertAlign val="superscript"/>
      <sz val="10"/>
      <name val="Univers"/>
      <family val="2"/>
    </font>
    <font>
      <sz val="6"/>
      <name val="Arial"/>
      <family val="2"/>
    </font>
    <font>
      <b/>
      <sz val="12"/>
      <color theme="0"/>
      <name val="Arial"/>
      <family val="2"/>
    </font>
    <font>
      <b/>
      <sz val="12"/>
      <name val="Arial"/>
      <family val="2"/>
    </font>
    <font>
      <sz val="12"/>
      <name val="Arial"/>
      <family val="2"/>
    </font>
    <font>
      <sz val="12"/>
      <color theme="0" tint="-0.499984740745262"/>
      <name val="Arial"/>
      <family val="2"/>
    </font>
    <font>
      <u/>
      <sz val="11"/>
      <color theme="10"/>
      <name val="Calibri"/>
      <family val="2"/>
      <scheme val="minor"/>
    </font>
    <font>
      <u/>
      <sz val="12"/>
      <color theme="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tint="-0.49998474074526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33">
    <xf numFmtId="0" fontId="0" fillId="0" borderId="0"/>
    <xf numFmtId="0" fontId="17" fillId="0" borderId="0"/>
    <xf numFmtId="0" fontId="22"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7" fillId="0" borderId="0" applyFont="0" applyFill="0" applyBorder="0" applyAlignment="0" applyProtection="0"/>
    <xf numFmtId="43" fontId="24" fillId="0" borderId="0" applyFont="0" applyFill="0" applyBorder="0" applyAlignment="0" applyProtection="0"/>
    <xf numFmtId="43" fontId="17"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6" fillId="0" borderId="0" applyFont="0" applyFill="0" applyBorder="0" applyAlignment="0" applyProtection="0"/>
    <xf numFmtId="44" fontId="24" fillId="0" borderId="0" applyFont="0" applyFill="0" applyBorder="0" applyAlignment="0" applyProtection="0"/>
    <xf numFmtId="0" fontId="14" fillId="0" borderId="0" applyNumberFormat="0" applyFill="0" applyBorder="0" applyAlignment="0" applyProtection="0"/>
    <xf numFmtId="37" fontId="27" fillId="0" borderId="11">
      <alignment horizontal="left"/>
      <protection locked="0"/>
    </xf>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22" fillId="0" borderId="0"/>
    <xf numFmtId="0" fontId="24" fillId="0" borderId="0"/>
    <xf numFmtId="0" fontId="26" fillId="0" borderId="0"/>
    <xf numFmtId="0" fontId="1" fillId="0" borderId="0"/>
    <xf numFmtId="165" fontId="36"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165" fontId="36" fillId="0" borderId="0" applyProtection="0"/>
    <xf numFmtId="0" fontId="1" fillId="0" borderId="0"/>
    <xf numFmtId="0" fontId="1" fillId="0" borderId="0"/>
    <xf numFmtId="0" fontId="1" fillId="0" borderId="0"/>
    <xf numFmtId="37" fontId="25" fillId="0" borderId="0"/>
    <xf numFmtId="0" fontId="1" fillId="0" borderId="0"/>
    <xf numFmtId="0" fontId="17" fillId="0" borderId="0"/>
    <xf numFmtId="0" fontId="1"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37" fillId="0" borderId="0"/>
    <xf numFmtId="0" fontId="1" fillId="0" borderId="0"/>
    <xf numFmtId="0" fontId="24" fillId="0" borderId="0"/>
    <xf numFmtId="0" fontId="24" fillId="0" borderId="0"/>
    <xf numFmtId="0" fontId="17"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0" borderId="0"/>
    <xf numFmtId="0" fontId="1" fillId="0" borderId="0"/>
    <xf numFmtId="0" fontId="1" fillId="0" borderId="0"/>
    <xf numFmtId="0" fontId="1" fillId="0" borderId="0"/>
    <xf numFmtId="0" fontId="1" fillId="0" borderId="0"/>
    <xf numFmtId="0" fontId="17" fillId="0" borderId="0"/>
    <xf numFmtId="0" fontId="37" fillId="0" borderId="0"/>
    <xf numFmtId="0" fontId="37" fillId="0" borderId="0"/>
    <xf numFmtId="0" fontId="26" fillId="0" borderId="0"/>
    <xf numFmtId="0" fontId="24" fillId="0" borderId="0"/>
    <xf numFmtId="0" fontId="17" fillId="0" borderId="0"/>
    <xf numFmtId="0" fontId="17" fillId="0" borderId="0"/>
    <xf numFmtId="0" fontId="17" fillId="0" borderId="0"/>
    <xf numFmtId="0" fontId="24" fillId="0" borderId="0"/>
    <xf numFmtId="0" fontId="24"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26"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25" fillId="0" borderId="0"/>
    <xf numFmtId="16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1" fillId="0" borderId="0"/>
    <xf numFmtId="0" fontId="1" fillId="0" borderId="0"/>
    <xf numFmtId="0" fontId="3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37" fontId="25" fillId="0" borderId="0"/>
    <xf numFmtId="37" fontId="25" fillId="0" borderId="0"/>
    <xf numFmtId="0" fontId="1" fillId="0" borderId="0"/>
    <xf numFmtId="37" fontId="25" fillId="0" borderId="0"/>
    <xf numFmtId="37" fontId="25" fillId="0" borderId="0"/>
    <xf numFmtId="0" fontId="1" fillId="0" borderId="0"/>
    <xf numFmtId="0" fontId="17" fillId="0" borderId="0"/>
    <xf numFmtId="0" fontId="17" fillId="0" borderId="0"/>
    <xf numFmtId="0" fontId="17" fillId="0" borderId="0"/>
    <xf numFmtId="0" fontId="22" fillId="0" borderId="0"/>
    <xf numFmtId="0" fontId="17" fillId="0" borderId="0"/>
    <xf numFmtId="0" fontId="22"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8" borderId="8" applyNumberFormat="0" applyFont="0" applyAlignment="0" applyProtection="0"/>
    <xf numFmtId="0" fontId="22" fillId="8" borderId="8" applyNumberFormat="0" applyFont="0" applyAlignment="0" applyProtection="0"/>
    <xf numFmtId="0" fontId="22"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1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xf numFmtId="0" fontId="56" fillId="0" borderId="0" applyNumberFormat="0" applyFill="0" applyBorder="0" applyAlignment="0" applyProtection="0"/>
  </cellStyleXfs>
  <cellXfs count="226">
    <xf numFmtId="0" fontId="0" fillId="0" borderId="0" xfId="0"/>
    <xf numFmtId="0" fontId="19" fillId="0" borderId="0" xfId="112" applyFont="1"/>
    <xf numFmtId="0" fontId="17" fillId="0" borderId="0" xfId="112" applyFont="1"/>
    <xf numFmtId="0" fontId="39" fillId="0" borderId="0" xfId="112" applyFont="1"/>
    <xf numFmtId="0" fontId="39" fillId="0" borderId="0" xfId="112" applyFont="1" applyAlignment="1">
      <alignment horizontal="left"/>
    </xf>
    <xf numFmtId="0" fontId="39" fillId="0" borderId="0" xfId="112" applyFont="1" applyBorder="1" applyAlignment="1"/>
    <xf numFmtId="0" fontId="17" fillId="0" borderId="0" xfId="112" applyFont="1" applyBorder="1"/>
    <xf numFmtId="0" fontId="17" fillId="34" borderId="0" xfId="112" applyFont="1" applyFill="1"/>
    <xf numFmtId="0" fontId="23" fillId="0" borderId="0" xfId="112" applyFont="1"/>
    <xf numFmtId="0" fontId="40" fillId="34" borderId="0" xfId="112" applyFont="1" applyFill="1" applyAlignment="1"/>
    <xf numFmtId="0" fontId="40" fillId="34" borderId="0" xfId="112" applyFont="1" applyFill="1"/>
    <xf numFmtId="0" fontId="41" fillId="34" borderId="0" xfId="112" applyFont="1" applyFill="1" applyBorder="1" applyAlignment="1">
      <alignment vertical="center"/>
    </xf>
    <xf numFmtId="0" fontId="41" fillId="34" borderId="0" xfId="112" applyFont="1" applyFill="1" applyBorder="1" applyAlignment="1">
      <alignment vertical="center"/>
    </xf>
    <xf numFmtId="0" fontId="42" fillId="34" borderId="0" xfId="112" applyFont="1" applyFill="1"/>
    <xf numFmtId="0" fontId="42" fillId="0" borderId="0" xfId="112" applyFont="1"/>
    <xf numFmtId="0" fontId="43" fillId="34" borderId="0" xfId="112" applyFont="1" applyFill="1" applyBorder="1" applyAlignment="1">
      <alignment vertical="center"/>
    </xf>
    <xf numFmtId="0" fontId="44" fillId="0" borderId="0" xfId="112" applyFont="1"/>
    <xf numFmtId="0" fontId="41" fillId="34" borderId="0" xfId="112" applyFont="1" applyFill="1" applyBorder="1" applyAlignment="1">
      <alignment vertical="center" wrapText="1"/>
    </xf>
    <xf numFmtId="0" fontId="44" fillId="34" borderId="0" xfId="112" applyFont="1" applyFill="1"/>
    <xf numFmtId="0" fontId="45" fillId="34" borderId="0" xfId="112" applyFont="1" applyFill="1"/>
    <xf numFmtId="0" fontId="39" fillId="34" borderId="0" xfId="112" applyFont="1" applyFill="1"/>
    <xf numFmtId="0" fontId="45" fillId="34" borderId="0" xfId="112" applyFont="1" applyFill="1" applyBorder="1"/>
    <xf numFmtId="0" fontId="41" fillId="34" borderId="0" xfId="112" applyFont="1" applyFill="1" applyBorder="1" applyAlignment="1">
      <alignment horizontal="left" vertical="center" wrapText="1"/>
    </xf>
    <xf numFmtId="0" fontId="46" fillId="34" borderId="0" xfId="112" applyFont="1" applyFill="1" applyBorder="1" applyAlignment="1">
      <alignment vertical="center" wrapText="1"/>
    </xf>
    <xf numFmtId="0" fontId="44" fillId="34" borderId="23" xfId="112" applyFont="1" applyFill="1" applyBorder="1" applyAlignment="1">
      <alignment horizontal="center"/>
    </xf>
    <xf numFmtId="0" fontId="17" fillId="34" borderId="0" xfId="112" applyFont="1" applyFill="1" applyBorder="1" applyAlignment="1">
      <alignment horizontal="left" vertical="top"/>
    </xf>
    <xf numFmtId="0" fontId="23" fillId="0" borderId="0" xfId="112" applyFont="1"/>
    <xf numFmtId="0" fontId="47" fillId="0" borderId="0" xfId="112" applyFont="1"/>
    <xf numFmtId="0" fontId="42" fillId="35" borderId="24" xfId="112" applyFont="1" applyFill="1" applyBorder="1" applyAlignment="1">
      <alignment horizontal="center" vertical="center"/>
    </xf>
    <xf numFmtId="0" fontId="42" fillId="35" borderId="25" xfId="112" applyFont="1" applyFill="1" applyBorder="1" applyAlignment="1">
      <alignment horizontal="center" vertical="center"/>
    </xf>
    <xf numFmtId="0" fontId="42" fillId="35" borderId="26" xfId="112" applyFont="1" applyFill="1" applyBorder="1" applyAlignment="1">
      <alignment horizontal="center" vertical="center"/>
    </xf>
    <xf numFmtId="0" fontId="42" fillId="34" borderId="14" xfId="112" applyFont="1" applyFill="1" applyBorder="1" applyAlignment="1">
      <alignment vertical="center"/>
    </xf>
    <xf numFmtId="0" fontId="42" fillId="34" borderId="27" xfId="112" applyFont="1" applyFill="1" applyBorder="1" applyAlignment="1">
      <alignment horizontal="center" vertical="center"/>
    </xf>
    <xf numFmtId="0" fontId="42" fillId="34" borderId="28" xfId="112" applyFont="1" applyFill="1" applyBorder="1" applyAlignment="1">
      <alignment horizontal="center" vertical="center"/>
    </xf>
    <xf numFmtId="0" fontId="42" fillId="34" borderId="22" xfId="112" applyFont="1" applyFill="1" applyBorder="1" applyAlignment="1">
      <alignment vertical="center"/>
    </xf>
    <xf numFmtId="0" fontId="48" fillId="34" borderId="0" xfId="112" applyFont="1" applyFill="1" applyBorder="1"/>
    <xf numFmtId="0" fontId="48" fillId="34" borderId="22" xfId="112" applyFont="1" applyFill="1" applyBorder="1" applyAlignment="1">
      <alignment horizontal="center"/>
    </xf>
    <xf numFmtId="0" fontId="49" fillId="34" borderId="0" xfId="112" applyFont="1" applyFill="1" applyBorder="1" applyAlignment="1">
      <alignment horizontal="center"/>
    </xf>
    <xf numFmtId="0" fontId="48" fillId="34" borderId="22" xfId="112" applyFont="1" applyFill="1" applyBorder="1" applyAlignment="1">
      <alignment horizontal="center" vertical="top"/>
    </xf>
    <xf numFmtId="0" fontId="48" fillId="34" borderId="0" xfId="112" applyFont="1" applyFill="1" applyBorder="1" applyAlignment="1">
      <alignment horizontal="center" vertical="top"/>
    </xf>
    <xf numFmtId="0" fontId="48" fillId="34" borderId="20" xfId="112" applyFont="1" applyFill="1" applyBorder="1" applyAlignment="1">
      <alignment horizontal="center" vertical="top"/>
    </xf>
    <xf numFmtId="0" fontId="48" fillId="34" borderId="14" xfId="112" applyFont="1" applyFill="1" applyBorder="1" applyAlignment="1">
      <alignment horizontal="center"/>
    </xf>
    <xf numFmtId="0" fontId="49" fillId="34" borderId="10" xfId="112" applyFont="1" applyFill="1" applyBorder="1" applyAlignment="1">
      <alignment horizontal="center"/>
    </xf>
    <xf numFmtId="0" fontId="48" fillId="34" borderId="14" xfId="112" applyFont="1" applyFill="1" applyBorder="1" applyAlignment="1">
      <alignment horizontal="center" vertical="top"/>
    </xf>
    <xf numFmtId="0" fontId="48" fillId="34" borderId="10" xfId="112" applyFont="1" applyFill="1" applyBorder="1" applyAlignment="1">
      <alignment horizontal="center" vertical="top"/>
    </xf>
    <xf numFmtId="0" fontId="48" fillId="34" borderId="15" xfId="112" applyFont="1" applyFill="1" applyBorder="1" applyAlignment="1">
      <alignment horizontal="center" vertical="top"/>
    </xf>
    <xf numFmtId="0" fontId="48" fillId="34" borderId="29" xfId="112" applyFont="1" applyFill="1" applyBorder="1" applyAlignment="1">
      <alignment horizontal="center"/>
    </xf>
    <xf numFmtId="0" fontId="48" fillId="34" borderId="30" xfId="112" applyFont="1" applyFill="1" applyBorder="1" applyAlignment="1">
      <alignment horizontal="center"/>
    </xf>
    <xf numFmtId="0" fontId="48" fillId="34" borderId="29" xfId="112" applyFont="1" applyFill="1" applyBorder="1" applyAlignment="1">
      <alignment horizontal="center" vertical="top"/>
    </xf>
    <xf numFmtId="0" fontId="48" fillId="34" borderId="30" xfId="112" applyFont="1" applyFill="1" applyBorder="1" applyAlignment="1">
      <alignment horizontal="center" vertical="top"/>
    </xf>
    <xf numFmtId="0" fontId="48" fillId="34" borderId="29" xfId="112" applyFont="1" applyFill="1" applyBorder="1" applyAlignment="1">
      <alignment horizontal="center" vertical="center"/>
    </xf>
    <xf numFmtId="0" fontId="48" fillId="34" borderId="30" xfId="112" applyFont="1" applyFill="1" applyBorder="1" applyAlignment="1">
      <alignment horizontal="center" vertical="center"/>
    </xf>
    <xf numFmtId="49" fontId="23" fillId="34" borderId="22" xfId="112" applyNumberFormat="1" applyFont="1" applyFill="1" applyBorder="1" applyAlignment="1" applyProtection="1">
      <protection locked="0"/>
    </xf>
    <xf numFmtId="0" fontId="23" fillId="34" borderId="0" xfId="112" applyFont="1" applyFill="1" applyBorder="1" applyAlignment="1" applyProtection="1">
      <protection locked="0"/>
    </xf>
    <xf numFmtId="0" fontId="39" fillId="34" borderId="11" xfId="112" applyFont="1" applyFill="1" applyBorder="1" applyAlignment="1">
      <alignment horizontal="left" vertical="top"/>
    </xf>
    <xf numFmtId="3" fontId="47" fillId="34" borderId="13" xfId="112" applyNumberFormat="1" applyFont="1" applyFill="1" applyBorder="1" applyAlignment="1"/>
    <xf numFmtId="0" fontId="47" fillId="0" borderId="0" xfId="112" applyFont="1" applyBorder="1"/>
    <xf numFmtId="49" fontId="23" fillId="34" borderId="22" xfId="112" applyNumberFormat="1" applyFont="1" applyFill="1" applyBorder="1" applyAlignment="1">
      <alignment horizontal="left" vertical="top"/>
    </xf>
    <xf numFmtId="49" fontId="23" fillId="34" borderId="0" xfId="112" applyNumberFormat="1" applyFont="1" applyFill="1" applyBorder="1" applyAlignment="1">
      <alignment vertical="top" wrapText="1"/>
    </xf>
    <xf numFmtId="0" fontId="39" fillId="34" borderId="11" xfId="112" applyFont="1" applyFill="1" applyBorder="1" applyAlignment="1" applyProtection="1">
      <alignment horizontal="left" vertical="top"/>
      <protection hidden="1"/>
    </xf>
    <xf numFmtId="2" fontId="47" fillId="34" borderId="13" xfId="112" applyNumberFormat="1" applyFont="1" applyFill="1" applyBorder="1" applyAlignment="1" applyProtection="1">
      <protection hidden="1"/>
    </xf>
    <xf numFmtId="0" fontId="39" fillId="36" borderId="11" xfId="112" applyFont="1" applyFill="1" applyBorder="1" applyAlignment="1" applyProtection="1">
      <alignment horizontal="center" vertical="top"/>
      <protection hidden="1"/>
    </xf>
    <xf numFmtId="0" fontId="39" fillId="36" borderId="13" xfId="112" applyFont="1" applyFill="1" applyBorder="1" applyAlignment="1" applyProtection="1">
      <alignment horizontal="center" vertical="top"/>
      <protection hidden="1"/>
    </xf>
    <xf numFmtId="3" fontId="47" fillId="34" borderId="13" xfId="112" applyNumberFormat="1" applyFont="1" applyFill="1" applyBorder="1" applyAlignment="1" applyProtection="1">
      <protection hidden="1"/>
    </xf>
    <xf numFmtId="49" fontId="23" fillId="34" borderId="0" xfId="112" applyNumberFormat="1" applyFont="1" applyFill="1" applyBorder="1" applyAlignment="1">
      <alignment vertical="top"/>
    </xf>
    <xf numFmtId="49" fontId="23" fillId="34" borderId="0" xfId="112" applyNumberFormat="1" applyFont="1" applyFill="1" applyBorder="1" applyAlignment="1">
      <alignment vertical="top" wrapText="1"/>
    </xf>
    <xf numFmtId="0" fontId="39" fillId="34" borderId="14" xfId="112" applyFont="1" applyFill="1" applyBorder="1" applyAlignment="1" applyProtection="1">
      <alignment horizontal="left" vertical="top"/>
      <protection hidden="1"/>
    </xf>
    <xf numFmtId="3" fontId="47" fillId="34" borderId="15" xfId="112" applyNumberFormat="1" applyFont="1" applyFill="1" applyBorder="1" applyAlignment="1" applyProtection="1">
      <protection hidden="1"/>
    </xf>
    <xf numFmtId="0" fontId="39" fillId="36" borderId="14" xfId="112" applyFont="1" applyFill="1" applyBorder="1" applyAlignment="1" applyProtection="1">
      <alignment horizontal="center" vertical="top"/>
      <protection hidden="1"/>
    </xf>
    <xf numFmtId="0" fontId="39" fillId="36" borderId="15" xfId="112" applyFont="1" applyFill="1" applyBorder="1" applyAlignment="1" applyProtection="1">
      <alignment horizontal="center" vertical="top"/>
      <protection hidden="1"/>
    </xf>
    <xf numFmtId="1" fontId="47" fillId="34" borderId="13" xfId="112" applyNumberFormat="1" applyFont="1" applyFill="1" applyBorder="1" applyAlignment="1" applyProtection="1">
      <protection hidden="1"/>
    </xf>
    <xf numFmtId="49" fontId="23" fillId="34" borderId="0" xfId="112" applyNumberFormat="1" applyFont="1" applyFill="1" applyBorder="1" applyAlignment="1">
      <alignment horizontal="left" vertical="top" wrapText="1"/>
    </xf>
    <xf numFmtId="49" fontId="23" fillId="34" borderId="0" xfId="112" applyNumberFormat="1" applyFont="1" applyFill="1" applyBorder="1" applyAlignment="1">
      <alignment horizontal="left" vertical="top"/>
    </xf>
    <xf numFmtId="49" fontId="23" fillId="34" borderId="0" xfId="112" applyNumberFormat="1" applyFont="1" applyFill="1" applyBorder="1" applyAlignment="1">
      <alignment horizontal="left" vertical="top" wrapText="1"/>
    </xf>
    <xf numFmtId="49" fontId="23" fillId="34" borderId="22" xfId="112" applyNumberFormat="1" applyFont="1" applyFill="1" applyBorder="1" applyAlignment="1" applyProtection="1">
      <alignment horizontal="left"/>
      <protection locked="0"/>
    </xf>
    <xf numFmtId="0" fontId="23" fillId="34" borderId="0" xfId="112" applyFont="1" applyFill="1" applyBorder="1" applyAlignment="1" applyProtection="1"/>
    <xf numFmtId="0" fontId="23" fillId="34" borderId="0" xfId="112" applyFont="1" applyFill="1" applyBorder="1" applyAlignment="1" applyProtection="1">
      <alignment horizontal="left" vertical="top"/>
    </xf>
    <xf numFmtId="0" fontId="23" fillId="34" borderId="20" xfId="112" applyFont="1" applyFill="1" applyBorder="1" applyAlignment="1" applyProtection="1">
      <alignment horizontal="left" vertical="top"/>
    </xf>
    <xf numFmtId="0" fontId="39" fillId="34" borderId="29" xfId="112" applyFont="1" applyFill="1" applyBorder="1" applyAlignment="1" applyProtection="1">
      <alignment horizontal="left" vertical="top"/>
    </xf>
    <xf numFmtId="3" fontId="47" fillId="34" borderId="30" xfId="112" applyNumberFormat="1" applyFont="1" applyFill="1" applyBorder="1" applyAlignment="1" applyProtection="1"/>
    <xf numFmtId="0" fontId="17" fillId="34" borderId="0" xfId="112" applyFont="1" applyFill="1" applyProtection="1">
      <protection locked="0"/>
    </xf>
    <xf numFmtId="0" fontId="17" fillId="0" borderId="0" xfId="112" applyFont="1" applyProtection="1">
      <protection locked="0"/>
    </xf>
    <xf numFmtId="0" fontId="39" fillId="34" borderId="14" xfId="112" applyFont="1" applyFill="1" applyBorder="1" applyAlignment="1" applyProtection="1">
      <alignment horizontal="left" vertical="top"/>
    </xf>
    <xf numFmtId="3" fontId="47" fillId="34" borderId="15" xfId="112" applyNumberFormat="1" applyFont="1" applyFill="1" applyBorder="1" applyAlignment="1" applyProtection="1"/>
    <xf numFmtId="0" fontId="23" fillId="34" borderId="0" xfId="112" applyFont="1" applyFill="1" applyBorder="1" applyAlignment="1" applyProtection="1">
      <alignment horizontal="left" vertical="top"/>
      <protection locked="0"/>
    </xf>
    <xf numFmtId="0" fontId="23" fillId="34" borderId="20" xfId="112" applyFont="1" applyFill="1" applyBorder="1" applyAlignment="1" applyProtection="1">
      <alignment horizontal="left" vertical="top"/>
      <protection locked="0"/>
    </xf>
    <xf numFmtId="0" fontId="39" fillId="34" borderId="29" xfId="112" applyFont="1" applyFill="1" applyBorder="1" applyAlignment="1" applyProtection="1">
      <alignment horizontal="left" vertical="top"/>
      <protection locked="0"/>
    </xf>
    <xf numFmtId="3" fontId="47" fillId="34" borderId="20" xfId="112" applyNumberFormat="1" applyFont="1" applyFill="1" applyBorder="1" applyAlignment="1" applyProtection="1"/>
    <xf numFmtId="0" fontId="39" fillId="34" borderId="11" xfId="112" applyFont="1" applyFill="1" applyBorder="1" applyAlignment="1" applyProtection="1">
      <alignment horizontal="left" vertical="top"/>
      <protection locked="0"/>
    </xf>
    <xf numFmtId="3" fontId="47" fillId="34" borderId="13" xfId="112" applyNumberFormat="1" applyFont="1" applyFill="1" applyBorder="1" applyAlignment="1" applyProtection="1"/>
    <xf numFmtId="0" fontId="23" fillId="34" borderId="31" xfId="112" applyFont="1" applyFill="1" applyBorder="1" applyAlignment="1" applyProtection="1">
      <alignment horizontal="left" vertical="top"/>
      <protection locked="0"/>
    </xf>
    <xf numFmtId="3" fontId="47" fillId="34" borderId="32" xfId="112" applyNumberFormat="1" applyFont="1" applyFill="1" applyBorder="1" applyAlignment="1" applyProtection="1">
      <protection locked="0"/>
    </xf>
    <xf numFmtId="0" fontId="42" fillId="34" borderId="33" xfId="112" applyFont="1" applyFill="1" applyBorder="1" applyAlignment="1">
      <alignment vertical="center"/>
    </xf>
    <xf numFmtId="0" fontId="23" fillId="34" borderId="27" xfId="112" applyFont="1" applyFill="1" applyBorder="1" applyAlignment="1"/>
    <xf numFmtId="0" fontId="39" fillId="34" borderId="27" xfId="112" applyFont="1" applyFill="1" applyBorder="1" applyAlignment="1"/>
    <xf numFmtId="0" fontId="39" fillId="34" borderId="27" xfId="112" applyFont="1" applyFill="1" applyBorder="1" applyAlignment="1">
      <alignment horizontal="left" vertical="top"/>
    </xf>
    <xf numFmtId="0" fontId="39" fillId="34" borderId="28" xfId="112" applyFont="1" applyFill="1" applyBorder="1" applyAlignment="1">
      <alignment horizontal="left" vertical="top"/>
    </xf>
    <xf numFmtId="49" fontId="23" fillId="34" borderId="22" xfId="112" applyNumberFormat="1" applyFont="1" applyFill="1" applyBorder="1" applyAlignment="1">
      <alignment horizontal="left"/>
    </xf>
    <xf numFmtId="0" fontId="23" fillId="34" borderId="0" xfId="112" applyFont="1" applyFill="1" applyBorder="1" applyAlignment="1"/>
    <xf numFmtId="0" fontId="39" fillId="34" borderId="0" xfId="112" applyFont="1" applyFill="1" applyBorder="1" applyAlignment="1"/>
    <xf numFmtId="0" fontId="39" fillId="34" borderId="12" xfId="112" applyFont="1" applyFill="1" applyBorder="1" applyAlignment="1">
      <alignment horizontal="left" vertical="top"/>
    </xf>
    <xf numFmtId="0" fontId="39" fillId="34" borderId="29" xfId="112" applyFont="1" applyFill="1" applyBorder="1" applyAlignment="1">
      <alignment horizontal="left" vertical="top"/>
    </xf>
    <xf numFmtId="3" fontId="47" fillId="34" borderId="30" xfId="112" applyNumberFormat="1" applyFont="1" applyFill="1" applyBorder="1" applyAlignment="1"/>
    <xf numFmtId="0" fontId="39" fillId="34" borderId="0" xfId="112" applyFont="1" applyFill="1" applyBorder="1" applyAlignment="1">
      <alignment horizontal="left" vertical="top"/>
    </xf>
    <xf numFmtId="0" fontId="39" fillId="34" borderId="20" xfId="112" applyFont="1" applyFill="1" applyBorder="1" applyAlignment="1">
      <alignment horizontal="left" vertical="top"/>
    </xf>
    <xf numFmtId="0" fontId="39" fillId="34" borderId="11" xfId="112" applyFont="1" applyFill="1" applyBorder="1" applyAlignment="1">
      <alignment horizontal="left" vertical="top"/>
    </xf>
    <xf numFmtId="3" fontId="47" fillId="34" borderId="13" xfId="112" applyNumberFormat="1" applyFont="1" applyFill="1" applyBorder="1" applyAlignment="1"/>
    <xf numFmtId="0" fontId="39" fillId="36" borderId="11" xfId="112" applyFont="1" applyFill="1" applyBorder="1" applyAlignment="1">
      <alignment horizontal="left" vertical="top"/>
    </xf>
    <xf numFmtId="3" fontId="47" fillId="36" borderId="13" xfId="112" applyNumberFormat="1" applyFont="1" applyFill="1" applyBorder="1" applyAlignment="1"/>
    <xf numFmtId="0" fontId="39" fillId="34" borderId="0" xfId="112" applyFont="1" applyFill="1" applyBorder="1" applyAlignment="1" applyProtection="1">
      <protection locked="0"/>
    </xf>
    <xf numFmtId="0" fontId="39" fillId="34" borderId="0" xfId="112" applyFont="1" applyFill="1" applyBorder="1" applyAlignment="1" applyProtection="1">
      <alignment horizontal="left" vertical="top"/>
      <protection locked="0"/>
    </xf>
    <xf numFmtId="0" fontId="39" fillId="34" borderId="31" xfId="112" applyFont="1" applyFill="1" applyBorder="1" applyAlignment="1">
      <alignment horizontal="left" vertical="top"/>
    </xf>
    <xf numFmtId="3" fontId="47" fillId="34" borderId="32" xfId="112" applyNumberFormat="1" applyFont="1" applyFill="1" applyBorder="1" applyAlignment="1"/>
    <xf numFmtId="0" fontId="39" fillId="36" borderId="31" xfId="112" applyFont="1" applyFill="1" applyBorder="1" applyAlignment="1" applyProtection="1">
      <alignment horizontal="left" vertical="top"/>
      <protection locked="0"/>
    </xf>
    <xf numFmtId="3" fontId="47" fillId="36" borderId="32" xfId="112" applyNumberFormat="1" applyFont="1" applyFill="1" applyBorder="1" applyAlignment="1"/>
    <xf numFmtId="0" fontId="48" fillId="34" borderId="27" xfId="112" applyFont="1" applyFill="1" applyBorder="1"/>
    <xf numFmtId="0" fontId="49" fillId="34" borderId="27" xfId="112" applyFont="1" applyFill="1" applyBorder="1"/>
    <xf numFmtId="0" fontId="23" fillId="34" borderId="27" xfId="112" applyFont="1" applyFill="1" applyBorder="1" applyAlignment="1">
      <alignment horizontal="center" vertical="top"/>
    </xf>
    <xf numFmtId="0" fontId="17" fillId="34" borderId="27" xfId="112" applyFont="1" applyFill="1" applyBorder="1" applyAlignment="1"/>
    <xf numFmtId="0" fontId="17" fillId="34" borderId="27" xfId="112" applyFont="1" applyFill="1" applyBorder="1" applyAlignment="1"/>
    <xf numFmtId="0" fontId="51" fillId="34" borderId="27" xfId="112" applyFont="1" applyFill="1" applyBorder="1" applyAlignment="1">
      <alignment horizontal="right" vertical="center"/>
    </xf>
    <xf numFmtId="0" fontId="51" fillId="34" borderId="28" xfId="112" applyFont="1" applyFill="1" applyBorder="1" applyAlignment="1">
      <alignment horizontal="right" vertical="center"/>
    </xf>
    <xf numFmtId="0" fontId="48" fillId="34" borderId="0" xfId="112" applyFont="1" applyFill="1"/>
    <xf numFmtId="0" fontId="48" fillId="0" borderId="0" xfId="112" applyFont="1"/>
    <xf numFmtId="0" fontId="39" fillId="34" borderId="29" xfId="112" applyFont="1" applyFill="1" applyBorder="1" applyAlignment="1">
      <alignment horizontal="left" vertical="top" wrapText="1"/>
    </xf>
    <xf numFmtId="169" fontId="47" fillId="34" borderId="30" xfId="112" applyNumberFormat="1" applyFont="1" applyFill="1" applyBorder="1" applyAlignment="1"/>
    <xf numFmtId="0" fontId="39" fillId="34" borderId="11" xfId="112" applyFont="1" applyFill="1" applyBorder="1" applyAlignment="1">
      <alignment horizontal="left" vertical="top" wrapText="1"/>
    </xf>
    <xf numFmtId="169" fontId="47" fillId="34" borderId="13" xfId="112" applyNumberFormat="1" applyFont="1" applyFill="1" applyBorder="1" applyAlignment="1"/>
    <xf numFmtId="0" fontId="39" fillId="34" borderId="31" xfId="112" applyFont="1" applyFill="1" applyBorder="1" applyAlignment="1" applyProtection="1">
      <alignment horizontal="left" vertical="top"/>
      <protection locked="0"/>
    </xf>
    <xf numFmtId="3" fontId="47" fillId="34" borderId="32" xfId="112" applyNumberFormat="1" applyFont="1" applyFill="1" applyBorder="1" applyAlignment="1"/>
    <xf numFmtId="0" fontId="48" fillId="34" borderId="34" xfId="112" applyFont="1" applyFill="1" applyBorder="1" applyAlignment="1">
      <alignment horizontal="left" vertical="top" wrapText="1"/>
    </xf>
    <xf numFmtId="0" fontId="48" fillId="34" borderId="35" xfId="112" applyFont="1" applyFill="1" applyBorder="1" applyAlignment="1">
      <alignment horizontal="left" vertical="top" wrapText="1"/>
    </xf>
    <xf numFmtId="0" fontId="48" fillId="34" borderId="36" xfId="112" applyFont="1" applyFill="1" applyBorder="1" applyAlignment="1">
      <alignment horizontal="left" vertical="top" wrapText="1"/>
    </xf>
    <xf numFmtId="0" fontId="23" fillId="0" borderId="14" xfId="112" applyFont="1" applyBorder="1" applyAlignment="1">
      <alignment horizontal="center"/>
    </xf>
    <xf numFmtId="0" fontId="23" fillId="0" borderId="10" xfId="112" applyFont="1" applyBorder="1" applyAlignment="1">
      <alignment horizontal="center"/>
    </xf>
    <xf numFmtId="0" fontId="39" fillId="0" borderId="10" xfId="112" applyFont="1" applyBorder="1" applyAlignment="1"/>
    <xf numFmtId="3" fontId="23" fillId="0" borderId="15" xfId="112" applyNumberFormat="1" applyFont="1" applyBorder="1"/>
    <xf numFmtId="49" fontId="44" fillId="34" borderId="23" xfId="112" quotePrefix="1" applyNumberFormat="1" applyFont="1" applyFill="1" applyBorder="1" applyAlignment="1" applyProtection="1">
      <alignment horizontal="center"/>
    </xf>
    <xf numFmtId="49" fontId="44" fillId="34" borderId="23" xfId="112" applyNumberFormat="1" applyFont="1" applyFill="1" applyBorder="1" applyAlignment="1" applyProtection="1">
      <alignment horizontal="center"/>
    </xf>
    <xf numFmtId="49" fontId="52" fillId="34" borderId="0" xfId="1" applyNumberFormat="1" applyFont="1" applyFill="1" applyBorder="1" applyAlignment="1">
      <alignment horizontal="left" vertical="center"/>
    </xf>
    <xf numFmtId="0" fontId="17" fillId="0" borderId="0" xfId="112"/>
    <xf numFmtId="0" fontId="53" fillId="34" borderId="0" xfId="1" applyFont="1" applyFill="1" applyAlignment="1">
      <alignment horizontal="center"/>
    </xf>
    <xf numFmtId="0" fontId="53" fillId="0" borderId="0" xfId="1" applyFont="1" applyAlignment="1">
      <alignment horizontal="center"/>
    </xf>
    <xf numFmtId="0" fontId="17" fillId="0" borderId="23" xfId="112" applyBorder="1"/>
    <xf numFmtId="0" fontId="53" fillId="34" borderId="29" xfId="1" applyFont="1" applyFill="1" applyBorder="1" applyAlignment="1">
      <alignment horizontal="center"/>
    </xf>
    <xf numFmtId="0" fontId="53" fillId="34" borderId="37" xfId="1" applyFont="1" applyFill="1" applyBorder="1" applyAlignment="1">
      <alignment horizontal="center"/>
    </xf>
    <xf numFmtId="0" fontId="53" fillId="34" borderId="30" xfId="1" applyFont="1" applyFill="1" applyBorder="1" applyAlignment="1">
      <alignment horizontal="center"/>
    </xf>
    <xf numFmtId="0" fontId="53" fillId="34" borderId="11" xfId="1" applyFont="1" applyFill="1" applyBorder="1" applyAlignment="1">
      <alignment horizontal="center"/>
    </xf>
    <xf numFmtId="0" fontId="53" fillId="34" borderId="12" xfId="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vertical="center" wrapText="1"/>
    </xf>
    <xf numFmtId="0" fontId="53" fillId="34" borderId="12" xfId="1" applyFont="1" applyFill="1" applyBorder="1" applyAlignment="1">
      <alignment horizontal="center" vertical="center" wrapText="1"/>
    </xf>
    <xf numFmtId="0" fontId="53" fillId="34" borderId="13" xfId="1" applyFont="1" applyFill="1" applyBorder="1" applyAlignment="1">
      <alignment horizontal="center" vertical="center" wrapText="1"/>
    </xf>
    <xf numFmtId="49" fontId="53" fillId="0" borderId="23" xfId="112" applyNumberFormat="1" applyFont="1" applyBorder="1" applyAlignment="1">
      <alignment horizontal="center" vertical="center"/>
    </xf>
    <xf numFmtId="0" fontId="53" fillId="34" borderId="14" xfId="1" applyFont="1" applyFill="1" applyBorder="1" applyAlignment="1">
      <alignment horizontal="center" vertical="center"/>
    </xf>
    <xf numFmtId="0" fontId="53" fillId="34" borderId="10" xfId="1" applyFont="1" applyFill="1" applyBorder="1" applyAlignment="1">
      <alignment horizontal="center" vertical="center"/>
    </xf>
    <xf numFmtId="0" fontId="53" fillId="34" borderId="15" xfId="1" applyFont="1" applyFill="1" applyBorder="1" applyAlignment="1">
      <alignment horizontal="center" vertical="center"/>
    </xf>
    <xf numFmtId="0" fontId="53" fillId="34" borderId="11" xfId="1" applyFont="1" applyFill="1" applyBorder="1" applyAlignment="1">
      <alignment horizontal="center" vertical="center"/>
    </xf>
    <xf numFmtId="0" fontId="53" fillId="34" borderId="12" xfId="1" applyFont="1" applyFill="1" applyBorder="1" applyAlignment="1">
      <alignment horizontal="center" vertical="center"/>
    </xf>
    <xf numFmtId="0" fontId="53" fillId="34" borderId="13" xfId="1" applyFont="1" applyFill="1" applyBorder="1" applyAlignment="1">
      <alignment horizontal="center" vertical="center"/>
    </xf>
    <xf numFmtId="0" fontId="53" fillId="34" borderId="22" xfId="1" applyFont="1" applyFill="1" applyBorder="1" applyAlignment="1">
      <alignment horizontal="center" vertical="center"/>
    </xf>
    <xf numFmtId="0" fontId="53" fillId="34" borderId="0" xfId="1" applyFont="1" applyFill="1" applyBorder="1" applyAlignment="1">
      <alignment horizontal="center" vertical="center"/>
    </xf>
    <xf numFmtId="0" fontId="53" fillId="34" borderId="20" xfId="1" applyFont="1" applyFill="1" applyBorder="1" applyAlignment="1">
      <alignment horizontal="center" vertical="center"/>
    </xf>
    <xf numFmtId="0" fontId="53" fillId="34" borderId="22" xfId="1" applyFont="1" applyFill="1" applyBorder="1" applyAlignment="1">
      <alignment horizontal="center" vertical="center" wrapText="1"/>
    </xf>
    <xf numFmtId="0" fontId="53" fillId="34" borderId="0" xfId="1" applyFont="1" applyFill="1" applyBorder="1" applyAlignment="1">
      <alignment horizontal="center" vertical="center" wrapText="1"/>
    </xf>
    <xf numFmtId="0" fontId="53" fillId="34" borderId="20" xfId="1" applyFont="1" applyFill="1" applyBorder="1" applyAlignment="1">
      <alignment horizontal="center" vertical="center" wrapText="1"/>
    </xf>
    <xf numFmtId="0" fontId="53" fillId="0" borderId="23" xfId="112" applyFont="1" applyBorder="1" applyAlignment="1">
      <alignment horizontal="center" vertical="center"/>
    </xf>
    <xf numFmtId="0" fontId="53" fillId="34" borderId="38" xfId="1" applyFont="1" applyFill="1" applyBorder="1" applyAlignment="1">
      <alignment horizontal="center"/>
    </xf>
    <xf numFmtId="0" fontId="53" fillId="34" borderId="38" xfId="1" quotePrefix="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xf>
    <xf numFmtId="0" fontId="53" fillId="34" borderId="22" xfId="1" applyFont="1" applyFill="1" applyBorder="1" applyAlignment="1">
      <alignment horizontal="center"/>
    </xf>
    <xf numFmtId="0" fontId="53" fillId="34" borderId="21" xfId="1" applyFont="1" applyFill="1" applyBorder="1" applyAlignment="1">
      <alignment horizontal="center"/>
    </xf>
    <xf numFmtId="0" fontId="53" fillId="34" borderId="20" xfId="1" applyFont="1" applyFill="1" applyBorder="1" applyAlignment="1">
      <alignment horizontal="center"/>
    </xf>
    <xf numFmtId="0" fontId="53" fillId="34" borderId="0" xfId="1" applyFont="1" applyFill="1"/>
    <xf numFmtId="0" fontId="53" fillId="34" borderId="0" xfId="1" applyFont="1" applyFill="1" applyBorder="1" applyAlignment="1">
      <alignment horizontal="center"/>
    </xf>
    <xf numFmtId="0" fontId="53" fillId="34" borderId="21" xfId="1" applyFont="1" applyFill="1" applyBorder="1" applyAlignment="1">
      <alignment horizontal="center" vertical="center"/>
    </xf>
    <xf numFmtId="0" fontId="53" fillId="34" borderId="21" xfId="1" applyFont="1" applyFill="1" applyBorder="1" applyAlignment="1">
      <alignment horizontal="center" wrapText="1"/>
    </xf>
    <xf numFmtId="0" fontId="53" fillId="34" borderId="14" xfId="1" applyFont="1" applyFill="1" applyBorder="1" applyAlignment="1">
      <alignment horizontal="center"/>
    </xf>
    <xf numFmtId="0" fontId="53" fillId="34" borderId="19" xfId="1" applyFont="1" applyFill="1" applyBorder="1" applyAlignment="1">
      <alignment horizontal="center"/>
    </xf>
    <xf numFmtId="0" fontId="53" fillId="34" borderId="15" xfId="1" applyFont="1" applyFill="1" applyBorder="1" applyAlignment="1">
      <alignment horizontal="center"/>
    </xf>
    <xf numFmtId="0" fontId="53" fillId="34" borderId="10" xfId="1" applyFont="1" applyFill="1" applyBorder="1" applyAlignment="1">
      <alignment horizontal="center"/>
    </xf>
    <xf numFmtId="0" fontId="53" fillId="34" borderId="19" xfId="1" applyFont="1" applyFill="1" applyBorder="1" applyAlignment="1">
      <alignment horizontal="center" wrapText="1"/>
    </xf>
    <xf numFmtId="0" fontId="21" fillId="34" borderId="15" xfId="1" applyFont="1" applyFill="1" applyBorder="1" applyAlignment="1">
      <alignment horizontal="left" vertical="center"/>
    </xf>
    <xf numFmtId="0" fontId="21" fillId="34" borderId="19" xfId="1" applyFont="1" applyFill="1" applyBorder="1" applyAlignment="1">
      <alignment horizontal="center" vertical="center" wrapText="1"/>
    </xf>
    <xf numFmtId="0" fontId="53" fillId="0" borderId="0" xfId="1" applyFont="1" applyAlignment="1">
      <alignment horizontal="left"/>
    </xf>
    <xf numFmtId="0" fontId="53" fillId="34" borderId="0" xfId="1" applyFont="1" applyFill="1" applyAlignment="1">
      <alignment horizontal="left"/>
    </xf>
    <xf numFmtId="3" fontId="22" fillId="34" borderId="30" xfId="112" applyNumberFormat="1" applyFont="1" applyFill="1" applyBorder="1" applyAlignment="1" applyProtection="1">
      <alignment horizontal="left"/>
      <protection locked="0"/>
    </xf>
    <xf numFmtId="3" fontId="22" fillId="34" borderId="23" xfId="112" applyNumberFormat="1" applyFont="1" applyFill="1" applyBorder="1" applyAlignment="1" applyProtection="1">
      <alignment horizontal="center" vertical="center"/>
    </xf>
    <xf numFmtId="3" fontId="55" fillId="37" borderId="23" xfId="112" applyNumberFormat="1" applyFont="1" applyFill="1" applyBorder="1" applyAlignment="1" applyProtection="1">
      <alignment horizontal="center" vertical="center"/>
    </xf>
    <xf numFmtId="3" fontId="22" fillId="34" borderId="29" xfId="112" applyNumberFormat="1" applyFont="1" applyFill="1" applyBorder="1" applyAlignment="1" applyProtection="1">
      <alignment horizontal="center" vertical="center"/>
    </xf>
    <xf numFmtId="0" fontId="54" fillId="0" borderId="0" xfId="112" applyFont="1" applyAlignment="1">
      <alignment horizontal="center"/>
    </xf>
    <xf numFmtId="0" fontId="54" fillId="34" borderId="0" xfId="112" applyFont="1" applyFill="1" applyAlignment="1">
      <alignment horizontal="center"/>
    </xf>
    <xf numFmtId="3" fontId="22" fillId="34" borderId="39" xfId="112" applyNumberFormat="1" applyFont="1" applyFill="1" applyBorder="1" applyAlignment="1" applyProtection="1">
      <alignment horizontal="left"/>
      <protection locked="0"/>
    </xf>
    <xf numFmtId="3" fontId="22" fillId="34" borderId="40" xfId="112" applyNumberFormat="1" applyFont="1" applyFill="1" applyBorder="1" applyAlignment="1" applyProtection="1">
      <alignment horizontal="center" vertical="center"/>
    </xf>
    <xf numFmtId="3" fontId="55" fillId="37" borderId="40" xfId="112" applyNumberFormat="1" applyFont="1" applyFill="1" applyBorder="1" applyAlignment="1" applyProtection="1">
      <alignment horizontal="center" vertical="center"/>
    </xf>
    <xf numFmtId="3" fontId="22" fillId="34" borderId="41" xfId="112" applyNumberFormat="1" applyFont="1" applyFill="1" applyBorder="1" applyAlignment="1" applyProtection="1">
      <alignment horizontal="center" vertical="center"/>
    </xf>
    <xf numFmtId="0" fontId="54" fillId="0" borderId="23" xfId="1" applyFont="1" applyBorder="1" applyAlignment="1">
      <alignment horizontal="center"/>
    </xf>
    <xf numFmtId="0" fontId="22" fillId="34" borderId="20" xfId="112" applyFont="1" applyFill="1" applyBorder="1" applyAlignment="1" applyProtection="1">
      <alignment horizontal="left"/>
      <protection locked="0"/>
    </xf>
    <xf numFmtId="3" fontId="22" fillId="34" borderId="22" xfId="112" applyNumberFormat="1" applyFont="1" applyFill="1" applyBorder="1" applyAlignment="1" applyProtection="1">
      <alignment horizontal="center" vertical="center"/>
    </xf>
    <xf numFmtId="3" fontId="22" fillId="37" borderId="22" xfId="112" applyNumberFormat="1" applyFont="1" applyFill="1" applyBorder="1" applyAlignment="1" applyProtection="1">
      <alignment horizontal="center" vertical="center"/>
    </xf>
    <xf numFmtId="0" fontId="54" fillId="0" borderId="23" xfId="112" applyFont="1" applyBorder="1" applyAlignment="1">
      <alignment horizontal="center"/>
    </xf>
    <xf numFmtId="0" fontId="54" fillId="34" borderId="0" xfId="112" applyFont="1" applyFill="1" applyAlignment="1">
      <alignment horizontal="left"/>
    </xf>
    <xf numFmtId="0" fontId="54" fillId="34" borderId="0" xfId="112" applyFont="1" applyFill="1" applyAlignment="1">
      <alignment horizontal="center" vertical="center"/>
    </xf>
    <xf numFmtId="49" fontId="18" fillId="33" borderId="10" xfId="112" applyNumberFormat="1" applyFont="1" applyFill="1" applyBorder="1" applyAlignment="1" applyProtection="1">
      <protection locked="0" hidden="1"/>
    </xf>
    <xf numFmtId="0" fontId="17" fillId="0" borderId="0" xfId="112" applyFont="1" applyAlignment="1">
      <alignment vertical="top"/>
    </xf>
    <xf numFmtId="0" fontId="19" fillId="0" borderId="0" xfId="112" applyFont="1" applyAlignment="1">
      <alignment vertical="top"/>
    </xf>
    <xf numFmtId="0" fontId="20" fillId="0" borderId="11" xfId="112" applyFont="1" applyBorder="1" applyAlignment="1">
      <alignment horizontal="center" vertical="top" wrapText="1"/>
    </xf>
    <xf numFmtId="0" fontId="20" fillId="0" borderId="12" xfId="112" applyFont="1" applyBorder="1" applyAlignment="1">
      <alignment horizontal="center" vertical="top"/>
    </xf>
    <xf numFmtId="0" fontId="20" fillId="0" borderId="13" xfId="112" applyFont="1" applyBorder="1" applyAlignment="1">
      <alignment horizontal="center" vertical="top"/>
    </xf>
    <xf numFmtId="0" fontId="20" fillId="0" borderId="14" xfId="112" applyFont="1" applyBorder="1" applyAlignment="1">
      <alignment horizontal="center" vertical="top" wrapText="1"/>
    </xf>
    <xf numFmtId="0" fontId="20" fillId="0" borderId="10" xfId="112" applyFont="1" applyBorder="1" applyAlignment="1">
      <alignment horizontal="center" vertical="top" wrapText="1"/>
    </xf>
    <xf numFmtId="0" fontId="20" fillId="0" borderId="15" xfId="112" applyFont="1" applyBorder="1" applyAlignment="1">
      <alignment horizontal="center" vertical="top" wrapText="1"/>
    </xf>
    <xf numFmtId="0" fontId="21" fillId="33" borderId="16" xfId="112" applyFont="1" applyFill="1" applyBorder="1" applyAlignment="1">
      <alignment horizontal="center" vertical="center"/>
    </xf>
    <xf numFmtId="0" fontId="21" fillId="33" borderId="17" xfId="112" applyFont="1" applyFill="1" applyBorder="1" applyAlignment="1">
      <alignment horizontal="center" vertical="center" wrapText="1"/>
    </xf>
    <xf numFmtId="0" fontId="21" fillId="33" borderId="18" xfId="112" applyFont="1" applyFill="1" applyBorder="1" applyAlignment="1">
      <alignment horizontal="left" vertical="center" wrapText="1"/>
    </xf>
    <xf numFmtId="0" fontId="22" fillId="33" borderId="14" xfId="112" applyFont="1" applyFill="1" applyBorder="1" applyAlignment="1" applyProtection="1">
      <alignment horizontal="left" vertical="center" wrapText="1"/>
      <protection locked="0"/>
    </xf>
    <xf numFmtId="14" fontId="17" fillId="0" borderId="0" xfId="112" applyNumberFormat="1" applyFont="1" applyAlignment="1">
      <alignment vertical="top"/>
    </xf>
    <xf numFmtId="0" fontId="23" fillId="0" borderId="0" xfId="112" applyFont="1" applyAlignment="1">
      <alignment vertical="top"/>
    </xf>
    <xf numFmtId="0" fontId="17" fillId="0" borderId="0" xfId="112" applyFont="1" applyAlignment="1">
      <alignment horizontal="left" vertical="center" wrapText="1"/>
    </xf>
    <xf numFmtId="0" fontId="17" fillId="33" borderId="14" xfId="112" applyFont="1" applyFill="1" applyBorder="1" applyAlignment="1" applyProtection="1">
      <alignment vertical="top" wrapText="1"/>
      <protection hidden="1"/>
    </xf>
    <xf numFmtId="0" fontId="17" fillId="33" borderId="10" xfId="112" applyFont="1" applyFill="1" applyBorder="1" applyAlignment="1" applyProtection="1">
      <alignment vertical="top" wrapText="1"/>
      <protection hidden="1"/>
    </xf>
    <xf numFmtId="0" fontId="17" fillId="33" borderId="15" xfId="112" applyFont="1" applyFill="1" applyBorder="1" applyAlignment="1" applyProtection="1">
      <alignment vertical="top" wrapText="1"/>
      <protection hidden="1"/>
    </xf>
    <xf numFmtId="17" fontId="57" fillId="33" borderId="15" xfId="332" quotePrefix="1" applyNumberFormat="1" applyFont="1" applyFill="1" applyBorder="1" applyAlignment="1">
      <alignment vertical="center"/>
    </xf>
    <xf numFmtId="17" fontId="57" fillId="33" borderId="20" xfId="332" quotePrefix="1" applyNumberFormat="1" applyFont="1" applyFill="1" applyBorder="1" applyAlignment="1">
      <alignment vertical="center"/>
    </xf>
    <xf numFmtId="164" fontId="22" fillId="33" borderId="19" xfId="112" quotePrefix="1" applyNumberFormat="1" applyFont="1" applyFill="1" applyBorder="1" applyAlignment="1" applyProtection="1">
      <alignment horizontal="center" vertical="center"/>
    </xf>
  </cellXfs>
  <cellStyles count="333">
    <cellStyle name="20% - Accent1 2" xfId="2"/>
    <cellStyle name="20% - Accent1 3" xfId="3"/>
    <cellStyle name="20% - Accent1 3 2" xfId="4"/>
    <cellStyle name="20% - Accent2 2" xfId="5"/>
    <cellStyle name="20% - Accent2 3" xfId="6"/>
    <cellStyle name="20% - Accent2 3 2" xfId="7"/>
    <cellStyle name="20% - Accent3 2" xfId="8"/>
    <cellStyle name="20% - Accent3 3" xfId="9"/>
    <cellStyle name="20% - Accent3 3 2" xfId="10"/>
    <cellStyle name="20% - Accent4 2" xfId="11"/>
    <cellStyle name="20% - Accent4 3" xfId="12"/>
    <cellStyle name="20% - Accent4 3 2" xfId="13"/>
    <cellStyle name="20% - Accent5 2" xfId="14"/>
    <cellStyle name="20% - Accent5 3" xfId="15"/>
    <cellStyle name="20% - Accent5 3 2" xfId="16"/>
    <cellStyle name="20% - Accent6 2" xfId="17"/>
    <cellStyle name="20% - Accent6 3" xfId="18"/>
    <cellStyle name="20% - Accent6 3 2" xfId="19"/>
    <cellStyle name="40% - Accent1 2" xfId="20"/>
    <cellStyle name="40% - Accent1 3" xfId="21"/>
    <cellStyle name="40% - Accent1 3 2" xfId="22"/>
    <cellStyle name="40% - Accent2 2" xfId="23"/>
    <cellStyle name="40% - Accent2 3" xfId="24"/>
    <cellStyle name="40% - Accent2 3 2" xfId="25"/>
    <cellStyle name="40% - Accent3 2" xfId="26"/>
    <cellStyle name="40% - Accent3 3" xfId="27"/>
    <cellStyle name="40% - Accent3 3 2" xfId="28"/>
    <cellStyle name="40% - Accent4 2" xfId="29"/>
    <cellStyle name="40% - Accent4 3" xfId="30"/>
    <cellStyle name="40% - Accent4 3 2" xfId="31"/>
    <cellStyle name="40% - Accent5 2" xfId="32"/>
    <cellStyle name="40% - Accent5 3" xfId="33"/>
    <cellStyle name="40% - Accent5 3 2" xfId="34"/>
    <cellStyle name="40% - Accent6 2" xfId="35"/>
    <cellStyle name="40% - Accent6 3" xfId="36"/>
    <cellStyle name="40% - Accent6 3 2" xfId="37"/>
    <cellStyle name="60% - Accent1 2" xfId="38"/>
    <cellStyle name="60% - Accent2 2" xfId="39"/>
    <cellStyle name="60% - Accent3 2" xfId="40"/>
    <cellStyle name="60% - Accent4 2" xfId="41"/>
    <cellStyle name="60% - Accent5 2" xfId="42"/>
    <cellStyle name="60% - Accent6 2" xfId="43"/>
    <cellStyle name="Accent1 2" xfId="44"/>
    <cellStyle name="Accent2 2" xfId="45"/>
    <cellStyle name="Accent3 2" xfId="46"/>
    <cellStyle name="Accent4 2" xfId="47"/>
    <cellStyle name="Accent5 2" xfId="48"/>
    <cellStyle name="Accent6 2" xfId="49"/>
    <cellStyle name="Bad 2" xfId="50"/>
    <cellStyle name="Calculation 2" xfId="51"/>
    <cellStyle name="Check Cell 2" xfId="52"/>
    <cellStyle name="Comma 2" xfId="53"/>
    <cellStyle name="Comma 2 2" xfId="54"/>
    <cellStyle name="Comma 3" xfId="55"/>
    <cellStyle name="Comma 4" xfId="56"/>
    <cellStyle name="Comma 5" xfId="57"/>
    <cellStyle name="Comma 6" xfId="58"/>
    <cellStyle name="Currency 2" xfId="59"/>
    <cellStyle name="Currency 2 2" xfId="60"/>
    <cellStyle name="Currency 3" xfId="61"/>
    <cellStyle name="Currency 3 2" xfId="62"/>
    <cellStyle name="Currency 4" xfId="63"/>
    <cellStyle name="Explanatory Text 2" xfId="64"/>
    <cellStyle name="general" xfId="65"/>
    <cellStyle name="Good 2" xfId="66"/>
    <cellStyle name="Heading 1 2" xfId="67"/>
    <cellStyle name="Heading 2 2" xfId="68"/>
    <cellStyle name="Heading 3 2" xfId="69"/>
    <cellStyle name="Heading 4 2" xfId="70"/>
    <cellStyle name="Hyperlink" xfId="332" builtinId="8"/>
    <cellStyle name="Hyperlink 2" xfId="71"/>
    <cellStyle name="Hyperlink 3" xfId="72"/>
    <cellStyle name="Hyperlink 3 2" xfId="73"/>
    <cellStyle name="Hyperlink 4" xfId="74"/>
    <cellStyle name="Hyperlink 4 2" xfId="75"/>
    <cellStyle name="Hyperlink 4 3" xfId="76"/>
    <cellStyle name="Hyperlink 5" xfId="77"/>
    <cellStyle name="Hyperlink 5 2" xfId="78"/>
    <cellStyle name="Hyperlink 5 3" xfId="79"/>
    <cellStyle name="Hyperlink 5 4" xfId="80"/>
    <cellStyle name="Hyperlink 6" xfId="81"/>
    <cellStyle name="Hyperlink 7" xfId="82"/>
    <cellStyle name="Hyperlink 8" xfId="83"/>
    <cellStyle name="Input 2" xfId="84"/>
    <cellStyle name="Linked Cell 2" xfId="85"/>
    <cellStyle name="Neutral 2" xfId="86"/>
    <cellStyle name="Normal" xfId="0" builtinId="0"/>
    <cellStyle name="Normal 10" xfId="87"/>
    <cellStyle name="Normal 10 2" xfId="88"/>
    <cellStyle name="Normal 11" xfId="89"/>
    <cellStyle name="Normal 11 2" xfId="90"/>
    <cellStyle name="Normal 11 2 2" xfId="91"/>
    <cellStyle name="Normal 11 2 2 2" xfId="92"/>
    <cellStyle name="Normal 11 2 2 2 2" xfId="93"/>
    <cellStyle name="Normal 11 2 2 3" xfId="94"/>
    <cellStyle name="Normal 11 2 3" xfId="95"/>
    <cellStyle name="Normal 11 2 3 2" xfId="96"/>
    <cellStyle name="Normal 11 2 4" xfId="97"/>
    <cellStyle name="Normal 11 3" xfId="98"/>
    <cellStyle name="Normal 11 3 2" xfId="99"/>
    <cellStyle name="Normal 11 3 2 2" xfId="100"/>
    <cellStyle name="Normal 11 3 3" xfId="101"/>
    <cellStyle name="Normal 11 4" xfId="102"/>
    <cellStyle name="Normal 11 4 2" xfId="103"/>
    <cellStyle name="Normal 11 5" xfId="104"/>
    <cellStyle name="Normal 11 6" xfId="105"/>
    <cellStyle name="Normal 12" xfId="106"/>
    <cellStyle name="Normal 12 2" xfId="107"/>
    <cellStyle name="Normal 12 2 2" xfId="108"/>
    <cellStyle name="Normal 13" xfId="109"/>
    <cellStyle name="Normal 13 2" xfId="110"/>
    <cellStyle name="Normal 13 2 2" xfId="111"/>
    <cellStyle name="Normal 13 3" xfId="112"/>
    <cellStyle name="Normal 14" xfId="113"/>
    <cellStyle name="Normal 14 2" xfId="114"/>
    <cellStyle name="Normal 14 2 2" xfId="115"/>
    <cellStyle name="Normal 14 2 2 2" xfId="116"/>
    <cellStyle name="Normal 14 3" xfId="117"/>
    <cellStyle name="Normal 14 3 2" xfId="118"/>
    <cellStyle name="Normal 14 4" xfId="119"/>
    <cellStyle name="Normal 15" xfId="120"/>
    <cellStyle name="Normal 15 2" xfId="121"/>
    <cellStyle name="Normal 15 2 2" xfId="122"/>
    <cellStyle name="Normal 15 3" xfId="123"/>
    <cellStyle name="Normal 16" xfId="124"/>
    <cellStyle name="Normal 16 2" xfId="125"/>
    <cellStyle name="Normal 16 2 2" xfId="126"/>
    <cellStyle name="Normal 16 3" xfId="127"/>
    <cellStyle name="Normal 17" xfId="128"/>
    <cellStyle name="Normal 17 2" xfId="129"/>
    <cellStyle name="Normal 17 2 2" xfId="130"/>
    <cellStyle name="Normal 17 3" xfId="131"/>
    <cellStyle name="Normal 18" xfId="132"/>
    <cellStyle name="Normal 18 2" xfId="133"/>
    <cellStyle name="Normal 18 2 2" xfId="134"/>
    <cellStyle name="Normal 18 3" xfId="135"/>
    <cellStyle name="Normal 19" xfId="136"/>
    <cellStyle name="Normal 19 2" xfId="137"/>
    <cellStyle name="Normal 19 2 2" xfId="138"/>
    <cellStyle name="Normal 19 3" xfId="139"/>
    <cellStyle name="Normal 2" xfId="1"/>
    <cellStyle name="Normal 2 2" xfId="140"/>
    <cellStyle name="Normal 2 2 2" xfId="141"/>
    <cellStyle name="Normal 2 2 2 2" xfId="142"/>
    <cellStyle name="Normal 2 2 3" xfId="143"/>
    <cellStyle name="Normal 2 3" xfId="144"/>
    <cellStyle name="Normal 2 3 2" xfId="145"/>
    <cellStyle name="Normal 2 3 3" xfId="146"/>
    <cellStyle name="Normal 2 4" xfId="147"/>
    <cellStyle name="Normal 2 5" xfId="148"/>
    <cellStyle name="Normal 2 6" xfId="149"/>
    <cellStyle name="Normal 20" xfId="150"/>
    <cellStyle name="Normal 20 2" xfId="151"/>
    <cellStyle name="Normal 20 2 2" xfId="152"/>
    <cellStyle name="Normal 20 3" xfId="153"/>
    <cellStyle name="Normal 21" xfId="154"/>
    <cellStyle name="Normal 21 2" xfId="155"/>
    <cellStyle name="Normal 21 2 2" xfId="156"/>
    <cellStyle name="Normal 21 3" xfId="157"/>
    <cellStyle name="Normal 22" xfId="158"/>
    <cellStyle name="Normal 22 2" xfId="159"/>
    <cellStyle name="Normal 22 2 2" xfId="160"/>
    <cellStyle name="Normal 22 3" xfId="161"/>
    <cellStyle name="Normal 23" xfId="162"/>
    <cellStyle name="Normal 23 2" xfId="163"/>
    <cellStyle name="Normal 23 2 2" xfId="164"/>
    <cellStyle name="Normal 23 3" xfId="165"/>
    <cellStyle name="Normal 24" xfId="166"/>
    <cellStyle name="Normal 24 2" xfId="167"/>
    <cellStyle name="Normal 24 2 2" xfId="168"/>
    <cellStyle name="Normal 24 3" xfId="169"/>
    <cellStyle name="Normal 25" xfId="170"/>
    <cellStyle name="Normal 25 2" xfId="171"/>
    <cellStyle name="Normal 25 2 2" xfId="172"/>
    <cellStyle name="Normal 25 3" xfId="173"/>
    <cellStyle name="Normal 26" xfId="174"/>
    <cellStyle name="Normal 26 2" xfId="175"/>
    <cellStyle name="Normal 26 2 2" xfId="176"/>
    <cellStyle name="Normal 26 3" xfId="177"/>
    <cellStyle name="Normal 27" xfId="178"/>
    <cellStyle name="Normal 28" xfId="179"/>
    <cellStyle name="Normal 28 2" xfId="180"/>
    <cellStyle name="Normal 29" xfId="181"/>
    <cellStyle name="Normal 29 2" xfId="182"/>
    <cellStyle name="Normal 3" xfId="183"/>
    <cellStyle name="Normal 3 2" xfId="184"/>
    <cellStyle name="Normal 3 2 2" xfId="185"/>
    <cellStyle name="Normal 3 2 3" xfId="186"/>
    <cellStyle name="Normal 3 3" xfId="187"/>
    <cellStyle name="Normal 3 3 2" xfId="188"/>
    <cellStyle name="Normal 3 4" xfId="189"/>
    <cellStyle name="Normal 3 5" xfId="190"/>
    <cellStyle name="Normal 3 6" xfId="191"/>
    <cellStyle name="Normal 3 6 2" xfId="192"/>
    <cellStyle name="Normal 3 7" xfId="193"/>
    <cellStyle name="Normal 30" xfId="194"/>
    <cellStyle name="Normal 30 2" xfId="195"/>
    <cellStyle name="Normal 31" xfId="196"/>
    <cellStyle name="Normal 31 2" xfId="197"/>
    <cellStyle name="Normal 32" xfId="198"/>
    <cellStyle name="Normal 32 2" xfId="199"/>
    <cellStyle name="Normal 33" xfId="200"/>
    <cellStyle name="Normal 33 2" xfId="201"/>
    <cellStyle name="Normal 34" xfId="202"/>
    <cellStyle name="Normal 34 2" xfId="203"/>
    <cellStyle name="Normal 35" xfId="204"/>
    <cellStyle name="Normal 35 2" xfId="205"/>
    <cellStyle name="Normal 36" xfId="206"/>
    <cellStyle name="Normal 36 2" xfId="207"/>
    <cellStyle name="Normal 37" xfId="208"/>
    <cellStyle name="Normal 37 2" xfId="209"/>
    <cellStyle name="Normal 38" xfId="210"/>
    <cellStyle name="Normal 38 2" xfId="211"/>
    <cellStyle name="Normal 39" xfId="212"/>
    <cellStyle name="Normal 39 2" xfId="213"/>
    <cellStyle name="Normal 4" xfId="214"/>
    <cellStyle name="Normal 4 2" xfId="215"/>
    <cellStyle name="Normal 4 2 2" xfId="216"/>
    <cellStyle name="Normal 40" xfId="217"/>
    <cellStyle name="Normal 40 2" xfId="218"/>
    <cellStyle name="Normal 41" xfId="219"/>
    <cellStyle name="Normal 41 2" xfId="220"/>
    <cellStyle name="Normal 42" xfId="221"/>
    <cellStyle name="Normal 42 2" xfId="222"/>
    <cellStyle name="Normal 43" xfId="223"/>
    <cellStyle name="Normal 43 2" xfId="224"/>
    <cellStyle name="Normal 44" xfId="225"/>
    <cellStyle name="Normal 44 2" xfId="226"/>
    <cellStyle name="Normal 45" xfId="227"/>
    <cellStyle name="Normal 45 2" xfId="228"/>
    <cellStyle name="Normal 46" xfId="229"/>
    <cellStyle name="Normal 46 2" xfId="230"/>
    <cellStyle name="Normal 47" xfId="231"/>
    <cellStyle name="Normal 47 2" xfId="232"/>
    <cellStyle name="Normal 48" xfId="233"/>
    <cellStyle name="Normal 48 2" xfId="234"/>
    <cellStyle name="Normal 49" xfId="235"/>
    <cellStyle name="Normal 49 2" xfId="236"/>
    <cellStyle name="Normal 5" xfId="237"/>
    <cellStyle name="Normal 5 2" xfId="238"/>
    <cellStyle name="Normal 5 3" xfId="239"/>
    <cellStyle name="Normal 50" xfId="240"/>
    <cellStyle name="Normal 50 2" xfId="241"/>
    <cellStyle name="Normal 51" xfId="242"/>
    <cellStyle name="Normal 51 2" xfId="243"/>
    <cellStyle name="Normal 52" xfId="244"/>
    <cellStyle name="Normal 52 2" xfId="245"/>
    <cellStyle name="Normal 53" xfId="246"/>
    <cellStyle name="Normal 53 2" xfId="247"/>
    <cellStyle name="Normal 54" xfId="248"/>
    <cellStyle name="Normal 54 2" xfId="249"/>
    <cellStyle name="Normal 55" xfId="250"/>
    <cellStyle name="Normal 55 2" xfId="251"/>
    <cellStyle name="Normal 56" xfId="252"/>
    <cellStyle name="Normal 56 2" xfId="253"/>
    <cellStyle name="Normal 57" xfId="254"/>
    <cellStyle name="Normal 57 2" xfId="255"/>
    <cellStyle name="Normal 58" xfId="256"/>
    <cellStyle name="Normal 58 2" xfId="257"/>
    <cellStyle name="Normal 59" xfId="258"/>
    <cellStyle name="Normal 59 2" xfId="259"/>
    <cellStyle name="Normal 6" xfId="260"/>
    <cellStyle name="Normal 6 2" xfId="261"/>
    <cellStyle name="Normal 60" xfId="262"/>
    <cellStyle name="Normal 60 2" xfId="263"/>
    <cellStyle name="Normal 61" xfId="264"/>
    <cellStyle name="Normal 61 2" xfId="265"/>
    <cellStyle name="Normal 62" xfId="266"/>
    <cellStyle name="Normal 62 2" xfId="267"/>
    <cellStyle name="Normal 63" xfId="268"/>
    <cellStyle name="Normal 63 2" xfId="269"/>
    <cellStyle name="Normal 64" xfId="270"/>
    <cellStyle name="Normal 64 2" xfId="271"/>
    <cellStyle name="Normal 65" xfId="272"/>
    <cellStyle name="Normal 65 2" xfId="273"/>
    <cellStyle name="Normal 66" xfId="274"/>
    <cellStyle name="Normal 66 2" xfId="275"/>
    <cellStyle name="Normal 67" xfId="276"/>
    <cellStyle name="Normal 67 2" xfId="277"/>
    <cellStyle name="Normal 68" xfId="278"/>
    <cellStyle name="Normal 68 2" xfId="279"/>
    <cellStyle name="Normal 69" xfId="280"/>
    <cellStyle name="Normal 69 2" xfId="281"/>
    <cellStyle name="Normal 7" xfId="282"/>
    <cellStyle name="Normal 70" xfId="283"/>
    <cellStyle name="Normal 70 2" xfId="284"/>
    <cellStyle name="Normal 71" xfId="285"/>
    <cellStyle name="Normal 72" xfId="286"/>
    <cellStyle name="Normal 72 2" xfId="287"/>
    <cellStyle name="Normal 73" xfId="288"/>
    <cellStyle name="Normal 73 2" xfId="289"/>
    <cellStyle name="Normal 74" xfId="290"/>
    <cellStyle name="Normal 74 2" xfId="291"/>
    <cellStyle name="Normal 75" xfId="292"/>
    <cellStyle name="Normal 75 2" xfId="293"/>
    <cellStyle name="Normal 76" xfId="294"/>
    <cellStyle name="Normal 76 2" xfId="295"/>
    <cellStyle name="Normal 77" xfId="296"/>
    <cellStyle name="Normal 77 2" xfId="297"/>
    <cellStyle name="Normal 78" xfId="298"/>
    <cellStyle name="Normal 79" xfId="299"/>
    <cellStyle name="Normal 8" xfId="300"/>
    <cellStyle name="Normal 8 2" xfId="301"/>
    <cellStyle name="Normal 8 3" xfId="302"/>
    <cellStyle name="Normal 9" xfId="303"/>
    <cellStyle name="Normal 9 2" xfId="304"/>
    <cellStyle name="Normal 9 3" xfId="305"/>
    <cellStyle name="Normal 9 3 2" xfId="306"/>
    <cellStyle name="Normal 9 3 2 2" xfId="307"/>
    <cellStyle name="Normal 9 3 2 2 2" xfId="308"/>
    <cellStyle name="Normal 9 3 2 3" xfId="309"/>
    <cellStyle name="Normal 9 3 3" xfId="310"/>
    <cellStyle name="Normal 9 3 3 2" xfId="311"/>
    <cellStyle name="Normal 9 3 4" xfId="312"/>
    <cellStyle name="Normal 9 4" xfId="313"/>
    <cellStyle name="Normal 9 4 2" xfId="314"/>
    <cellStyle name="Normal 9 4 2 2" xfId="315"/>
    <cellStyle name="Normal 9 4 3" xfId="316"/>
    <cellStyle name="Normal 9 5" xfId="317"/>
    <cellStyle name="Normal 9 5 2" xfId="318"/>
    <cellStyle name="Normal 9 6" xfId="319"/>
    <cellStyle name="Normal 9 7" xfId="320"/>
    <cellStyle name="Note 2" xfId="321"/>
    <cellStyle name="Note 2 2" xfId="322"/>
    <cellStyle name="Note 3" xfId="323"/>
    <cellStyle name="Note 4" xfId="324"/>
    <cellStyle name="Note 4 2" xfId="325"/>
    <cellStyle name="Output 2" xfId="326"/>
    <cellStyle name="Percent 2" xfId="327"/>
    <cellStyle name="Percent 2 2" xfId="328"/>
    <cellStyle name="Percent 3" xfId="329"/>
    <cellStyle name="Total 2" xfId="330"/>
    <cellStyle name="Warning Text 2" xfId="331"/>
  </cellStyles>
  <dxfs count="824">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164" formatCode="[$-409]mmmm\ d\,\ 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top/>
        <bottom style="thin">
          <color indexed="64"/>
        </bottom>
      </border>
      <protection locked="0" hidden="0"/>
    </dxf>
    <dxf>
      <font>
        <b val="0"/>
        <i val="0"/>
        <strike val="0"/>
        <condense val="0"/>
        <extend val="0"/>
        <outline val="0"/>
        <shadow val="0"/>
        <u val="none"/>
        <vertAlign val="baseline"/>
        <sz val="12"/>
        <color theme="1"/>
        <name val="Arial"/>
        <scheme val="none"/>
      </font>
      <numFmt numFmtId="22" formatCode="mmm\-yy"/>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bottom style="double">
          <color indexed="64"/>
        </bottom>
      </border>
    </dxf>
    <dxf>
      <border outline="0">
        <left style="thin">
          <color indexed="64"/>
        </left>
        <right style="thin">
          <color indexed="64"/>
        </right>
        <top style="double">
          <color indexed="64"/>
        </top>
        <bottom style="thin">
          <color indexed="64"/>
        </bottom>
      </border>
    </dxf>
    <dxf>
      <font>
        <strike val="0"/>
        <outline val="0"/>
        <shadow val="0"/>
        <u val="none"/>
        <vertAlign val="baseline"/>
        <sz val="12"/>
        <color theme="1"/>
        <name val="Arial"/>
        <scheme val="none"/>
      </font>
      <fill>
        <patternFill patternType="solid">
          <fgColor indexed="64"/>
          <bgColor theme="0"/>
        </patternFill>
      </fill>
    </dxf>
    <dxf>
      <font>
        <strike val="0"/>
        <outline val="0"/>
        <shadow val="0"/>
        <u val="none"/>
        <vertAlign val="baseline"/>
        <sz val="12"/>
        <color theme="1"/>
        <name val="Arial"/>
        <scheme val="none"/>
      </font>
      <fill>
        <patternFill patternType="solid">
          <fgColor indexed="64"/>
          <bgColor theme="0"/>
        </patternFill>
      </fill>
    </dxf>
    <dxf>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FA256%20Workbook%20FY16-17.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ss\admd\Central%20Office\RSB\DS2\zz%20TECH%20TEAM\08%20WORKBOOKS\2017-18%20WORKBOOKS%20IN%20PROGRESS\Done\Release%20VBA%20Added\CW115A%20Workbook%20FY17-1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Stakeholder Map"/>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Jul FNS388A Household Formula"/>
      <sheetName val="Aug FNS388A Household Formula"/>
      <sheetName val="Sep FNS388A Household Formula"/>
      <sheetName val="Oct FNS388A Household Formula"/>
      <sheetName val="Nov FNS388A Household Formula"/>
      <sheetName val="Dec FNS388A Household Formula"/>
      <sheetName val="Jan FNS388A Household Formula"/>
      <sheetName val="Feb FNS388A Household Formula"/>
      <sheetName val="Mar FNS388A Household Formula"/>
      <sheetName val="Apr FNS388A Household Formula"/>
      <sheetName val="May FNS388A Household Formula"/>
      <sheetName val="Jun FNS388A Household Formula"/>
      <sheetName val="COMPARISONS COUNTY"/>
      <sheetName val="COMPARISON CELLS"/>
      <sheetName val="FNS388A INSTRUCTIONS"/>
      <sheetName val="FNS388A Household Formula"/>
      <sheetName val="FNS 388A"/>
      <sheetName val="NEW EST Jul"/>
      <sheetName val="NEW EST Aug"/>
      <sheetName val="NEW EST Sep"/>
      <sheetName val="NEW EST Oct"/>
      <sheetName val="NEW EST Nov"/>
      <sheetName val="NEW EST Dec"/>
      <sheetName val="NEW EST Jan"/>
      <sheetName val="NEW EST Feb"/>
      <sheetName val="NEW EST Mar"/>
      <sheetName val="NEW EST Apr"/>
      <sheetName val="NEW EST May"/>
      <sheetName val="NEW EST Jun"/>
      <sheetName val="NEW EST Averages Jul-Jun"/>
      <sheetName val="County Edits"/>
      <sheetName val="COUNTY SIZE DETERMINATION"/>
      <sheetName val="PRIOR DATA"/>
      <sheetName val="CURRENT DATA"/>
      <sheetName val="FY Totals Statewide"/>
      <sheetName val="FY Totals County"/>
      <sheetName val="FY Averages Statewide"/>
      <sheetName val="FY Averages County"/>
      <sheetName val="Release Summary"/>
      <sheetName val="Data Dictionary"/>
      <sheetName val="RELEASE STATEWIDE"/>
      <sheetName val="RELEASE COUNTY"/>
      <sheetName val="RELEASE BACKSHEET"/>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sheetData sheetId="16" refreshError="1"/>
      <sheetData sheetId="17" refreshError="1"/>
      <sheetData sheetId="18"/>
      <sheetData sheetId="19" refreshError="1"/>
      <sheetData sheetId="20" refreshError="1"/>
      <sheetData sheetId="21"/>
      <sheetData sheetId="22" refreshError="1"/>
      <sheetData sheetId="23" refreshError="1"/>
      <sheetData sheetId="24"/>
      <sheetData sheetId="25" refreshError="1"/>
      <sheetData sheetId="26" refreshError="1"/>
      <sheetData sheetId="27"/>
      <sheetData sheetId="28" refreshError="1"/>
      <sheetData sheetId="29" refreshError="1"/>
      <sheetData sheetId="30"/>
      <sheetData sheetId="31" refreshError="1"/>
      <sheetData sheetId="32" refreshError="1"/>
      <sheetData sheetId="33"/>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RESOURCE SHEETS---&gt;"/>
      <sheetName val="Stakeholder Map"/>
      <sheetName val="7-15 CELL MAP"/>
      <sheetName val="ACL FORM 07-15"/>
      <sheetName val="ACL INSTRUCTIONS 07-15"/>
      <sheetName val="ACL VALIDATIONS 07-15"/>
      <sheetName val="ACL FORM 10-06"/>
      <sheetName val="ACL VALIDATIONS 10-06"/>
      <sheetName val="DAYS LATE"/>
      <sheetName val="RERELEASE 3% TEST"/>
      <sheetName val="INTAKE INSTRUCTIONS"/>
      <sheetName val="WORKBOOK INSTRUCTIONS"/>
      <sheetName val="NM-LD TEXT BOX NOTES 07-30-15"/>
      <sheetName val="WORKBOOK UPDATES"/>
      <sheetName val="CW115 FACT SHEET"/>
      <sheetName val="WORKBOOK CHECKUPS-TASKS"/>
      <sheetName val="Trend Charts"/>
      <sheetName val="Trend Analysis 1"/>
      <sheetName val="Trend Analysis 2"/>
      <sheetName val="DATA REVIEW TOOLS ----&gt;"/>
      <sheetName val="COMPARISONS CELLS"/>
      <sheetName val="CURRENT DATA"/>
      <sheetName val="COMPARISONS COUNTY"/>
      <sheetName val="PRIOR DATA"/>
      <sheetName val="COUNTY SIZE"/>
      <sheetName val="FY Totals Statewide"/>
      <sheetName val="FY Totals County"/>
      <sheetName val="FY Averages Statewide"/>
      <sheetName val="FY Averages County"/>
      <sheetName val="RELEASE TEMPLATES---&gt;"/>
      <sheetName val="Release Summary"/>
      <sheetName val="RELEASE STATEWIDE"/>
      <sheetName val="RELEASE COUNTY"/>
      <sheetName val="RELEASE BACK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sheetData sheetId="21" refreshError="1"/>
      <sheetData sheetId="22" refreshError="1"/>
      <sheetData sheetId="23"/>
      <sheetData sheetId="24" refreshError="1"/>
      <sheetData sheetId="25" refreshError="1"/>
      <sheetData sheetId="26"/>
      <sheetData sheetId="27" refreshError="1"/>
      <sheetData sheetId="28" refreshError="1"/>
      <sheetData sheetId="29"/>
      <sheetData sheetId="30" refreshError="1"/>
      <sheetData sheetId="31" refreshError="1"/>
      <sheetData sheetId="32"/>
      <sheetData sheetId="33" refreshError="1"/>
      <sheetData sheetId="34" refreshError="1"/>
      <sheetData sheetId="35"/>
      <sheetData sheetId="36" refreshError="1"/>
      <sheetData sheetId="37" refreshError="1"/>
      <sheetData sheetId="38"/>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sheetData sheetId="72"/>
    </sheetDataSet>
  </externalBook>
</externalLink>
</file>

<file path=xl/tables/table1.xml><?xml version="1.0" encoding="utf-8"?>
<table xmlns="http://schemas.openxmlformats.org/spreadsheetml/2006/main" id="14" name="ReleaseSummary" displayName="ReleaseSummary" ref="A4:C16" totalsRowShown="0" headerRowDxfId="316" dataDxfId="315" headerRowBorderDxfId="313" tableBorderDxfId="314">
  <autoFilter ref="A4:C16">
    <filterColumn colId="0" hiddenButton="1"/>
    <filterColumn colId="1" hiddenButton="1"/>
    <filterColumn colId="2" hiddenButton="1"/>
  </autoFilter>
  <tableColumns count="3">
    <tableColumn id="1" name="REPORT MONTH" dataDxfId="312"/>
    <tableColumn id="2" name="RELEASE DATE" dataDxfId="310"/>
    <tableColumn id="3" name="COMMENTS  a/" dataDxfId="311"/>
  </tableColumns>
  <tableStyleInfo name="TableStyleMedium9" showFirstColumn="0" showLastColumn="0" showRowStripes="1" showColumnStripes="0"/>
</table>
</file>

<file path=xl/tables/table10.xml><?xml version="1.0" encoding="utf-8"?>
<table xmlns="http://schemas.openxmlformats.org/spreadsheetml/2006/main" id="10" name="Mar17Data" displayName="Mar17Data" ref="A8:AE67" totalsRowCount="1" headerRowDxfId="504" dataDxfId="503" headerRowBorderDxfId="501" tableBorderDxfId="502" totalsRowBorderDxfId="50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498" totalsRowDxfId="499"/>
    <tableColumn id="4" name="Cell 1" totalsRowFunction="sum" dataDxfId="496" totalsRowDxfId="497"/>
    <tableColumn id="5" name="Cell 2" totalsRowFunction="sum" dataDxfId="494" totalsRowDxfId="495"/>
    <tableColumn id="6" name="Cell 3" totalsRowFunction="sum" dataDxfId="492" totalsRowDxfId="493"/>
    <tableColumn id="7" name="Cell 4" totalsRowFunction="sum" dataDxfId="490" totalsRowDxfId="491"/>
    <tableColumn id="8" name="Cell 5" totalsRowFunction="sum" dataDxfId="488" totalsRowDxfId="489"/>
    <tableColumn id="9" name="Cell 6" totalsRowFunction="sum" dataDxfId="486" totalsRowDxfId="487"/>
    <tableColumn id="10" name="Cell 15" totalsRowFunction="sum" dataDxfId="484" totalsRowDxfId="485"/>
    <tableColumn id="11" name="Cell 16" totalsRowFunction="sum" dataDxfId="482" totalsRowDxfId="483"/>
    <tableColumn id="12" name="Cell 17" totalsRowFunction="sum" dataDxfId="480" totalsRowDxfId="481"/>
    <tableColumn id="13" name="Cell 7" totalsRowFunction="sum" dataDxfId="478" totalsRowDxfId="479"/>
    <tableColumn id="14" name="Cell 8" totalsRowFunction="sum" dataDxfId="476" totalsRowDxfId="477"/>
    <tableColumn id="15" name="Cell 18" totalsRowFunction="sum" dataDxfId="474" totalsRowDxfId="475"/>
    <tableColumn id="16" name="Cell 9" totalsRowFunction="sum" dataDxfId="472" totalsRowDxfId="473"/>
    <tableColumn id="17" name="Cell 10" totalsRowFunction="sum" dataDxfId="470" totalsRowDxfId="471"/>
    <tableColumn id="18" name="Cell 11" totalsRowFunction="sum" dataDxfId="468" totalsRowDxfId="469"/>
    <tableColumn id="19" name="Cell 12" totalsRowFunction="sum" dataDxfId="466" totalsRowDxfId="467"/>
    <tableColumn id="20" name="Cell 19" totalsRowFunction="sum" dataDxfId="464" totalsRowDxfId="465"/>
    <tableColumn id="21" name="Cell 20" totalsRowFunction="sum" dataDxfId="462" totalsRowDxfId="463"/>
    <tableColumn id="22" name="Cell 13" totalsRowFunction="sum" dataDxfId="460" totalsRowDxfId="461"/>
    <tableColumn id="23" name="Cell 14" totalsRowFunction="sum" dataDxfId="458" totalsRowDxfId="459"/>
    <tableColumn id="24" name="Cell 21" totalsRowFunction="sum" dataDxfId="456" totalsRowDxfId="457"/>
    <tableColumn id="25" name="Cell 22" dataDxfId="454" totalsRowDxfId="455"/>
    <tableColumn id="26" name="Cell 23" dataDxfId="452" totalsRowDxfId="453"/>
    <tableColumn id="27" name="Cell 24" dataDxfId="450" totalsRowDxfId="451"/>
    <tableColumn id="28" name="Cell 25" totalsRowFunction="sum" dataDxfId="448" totalsRowDxfId="449"/>
    <tableColumn id="29" name="Cell 26" totalsRowFunction="sum" dataDxfId="446" totalsRowDxfId="447"/>
    <tableColumn id="30" name="Cell 27" totalsRowFunction="sum" dataDxfId="444" totalsRowDxfId="445"/>
    <tableColumn id="31" name="Cell 28" totalsRowFunction="sum" dataDxfId="442" totalsRowDxfId="443"/>
    <tableColumn id="32" name="Cell 29" totalsRowFunction="sum" dataDxfId="440" totalsRowDxfId="441"/>
    <tableColumn id="33" name="Cell 30" totalsRowFunction="sum" dataDxfId="438" totalsRowDxfId="439"/>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1.xml><?xml version="1.0" encoding="utf-8"?>
<table xmlns="http://schemas.openxmlformats.org/spreadsheetml/2006/main" id="11" name="Apr17Data" displayName="Apr17Data" ref="A8:AE67" totalsRowCount="1" headerRowDxfId="437" dataDxfId="436" headerRowBorderDxfId="434" tableBorderDxfId="435" totalsRowBorderDxfId="433"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432" totalsRowDxfId="92" dataCellStyle="Normal 13 3"/>
    <tableColumn id="4" name="Cell 1" totalsRowFunction="sum" dataDxfId="431" totalsRowDxfId="91" dataCellStyle="Normal 13 3"/>
    <tableColumn id="5" name="Cell 2" totalsRowFunction="sum" dataDxfId="430" totalsRowDxfId="90" dataCellStyle="Normal 13 3"/>
    <tableColumn id="6" name="Cell 3" totalsRowFunction="sum" dataDxfId="429" totalsRowDxfId="89" dataCellStyle="Normal 13 3"/>
    <tableColumn id="7" name="Cell 4" totalsRowFunction="sum" dataDxfId="428" totalsRowDxfId="88" dataCellStyle="Normal 13 3"/>
    <tableColumn id="8" name="Cell 5" totalsRowFunction="sum" dataDxfId="427" totalsRowDxfId="87" dataCellStyle="Normal 13 3"/>
    <tableColumn id="9" name="Cell 6" totalsRowFunction="sum" dataDxfId="426" totalsRowDxfId="86" dataCellStyle="Normal 13 3"/>
    <tableColumn id="10" name="Cell 15" totalsRowFunction="sum" dataDxfId="425" totalsRowDxfId="85" dataCellStyle="Normal 13 3"/>
    <tableColumn id="11" name="Cell 16" totalsRowFunction="sum" dataDxfId="424" totalsRowDxfId="84" dataCellStyle="Normal 13 3"/>
    <tableColumn id="12" name="Cell 17" totalsRowFunction="sum" dataDxfId="423" totalsRowDxfId="83" dataCellStyle="Normal 13 3"/>
    <tableColumn id="13" name="Cell 7" totalsRowFunction="sum" dataDxfId="422" totalsRowDxfId="82" dataCellStyle="Normal 13 3"/>
    <tableColumn id="14" name="Cell 8" totalsRowFunction="sum" dataDxfId="421" totalsRowDxfId="81" dataCellStyle="Normal 13 3"/>
    <tableColumn id="15" name="Cell 18" totalsRowFunction="sum" dataDxfId="420" totalsRowDxfId="80" dataCellStyle="Normal 13 3"/>
    <tableColumn id="16" name="Cell 9" totalsRowFunction="sum" dataDxfId="419" totalsRowDxfId="79" dataCellStyle="Normal 13 3"/>
    <tableColumn id="17" name="Cell 10" totalsRowFunction="sum" dataDxfId="418" totalsRowDxfId="78" dataCellStyle="Normal 13 3"/>
    <tableColumn id="18" name="Cell 11" totalsRowFunction="sum" dataDxfId="417" totalsRowDxfId="77" dataCellStyle="Normal 13 3"/>
    <tableColumn id="19" name="Cell 12" totalsRowFunction="sum" dataDxfId="416" totalsRowDxfId="76" dataCellStyle="Normal 13 3"/>
    <tableColumn id="20" name="Cell 19" totalsRowFunction="sum" dataDxfId="415" totalsRowDxfId="75" dataCellStyle="Normal 13 3"/>
    <tableColumn id="21" name="Cell 20" totalsRowFunction="sum" dataDxfId="414" totalsRowDxfId="74" dataCellStyle="Normal 13 3"/>
    <tableColumn id="22" name="Cell 13" totalsRowFunction="sum" dataDxfId="413" totalsRowDxfId="73" dataCellStyle="Normal 13 3"/>
    <tableColumn id="23" name="Cell 14" totalsRowFunction="sum" dataDxfId="412" totalsRowDxfId="72" dataCellStyle="Normal 13 3"/>
    <tableColumn id="24" name="Cell 21" totalsRowFunction="sum" dataDxfId="411" totalsRowDxfId="71" dataCellStyle="Normal 13 3"/>
    <tableColumn id="25" name="Cell 22" dataDxfId="410" totalsRowDxfId="70" dataCellStyle="Normal 13 3"/>
    <tableColumn id="26" name="Cell 23" dataDxfId="409" totalsRowDxfId="69" dataCellStyle="Normal 13 3"/>
    <tableColumn id="27" name="Cell 24" dataDxfId="408" totalsRowDxfId="68" dataCellStyle="Normal 13 3"/>
    <tableColumn id="28" name="Cell 25" totalsRowFunction="sum" dataDxfId="407" totalsRowDxfId="67" dataCellStyle="Normal 13 3"/>
    <tableColumn id="29" name="Cell 26" totalsRowFunction="sum" dataDxfId="406" totalsRowDxfId="66" dataCellStyle="Normal 13 3"/>
    <tableColumn id="30" name="Cell 27" totalsRowFunction="sum" dataDxfId="405" totalsRowDxfId="65" dataCellStyle="Normal 13 3"/>
    <tableColumn id="31" name="Cell 28" totalsRowFunction="sum" dataDxfId="404" totalsRowDxfId="64" dataCellStyle="Normal 13 3"/>
    <tableColumn id="32" name="Cell 29" totalsRowFunction="sum" dataDxfId="403" totalsRowDxfId="63" dataCellStyle="Normal 13 3"/>
    <tableColumn id="33" name="Cell 30" totalsRowFunction="sum" dataDxfId="402" totalsRowDxfId="62"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2.xml><?xml version="1.0" encoding="utf-8"?>
<table xmlns="http://schemas.openxmlformats.org/spreadsheetml/2006/main" id="12" name="May17Data" displayName="May17Data" ref="A8:AE67" totalsRowCount="1" headerRowDxfId="401" dataDxfId="400" headerRowBorderDxfId="398" tableBorderDxfId="399" totalsRowBorderDxfId="397"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396" totalsRowDxfId="61" dataCellStyle="Normal 13 3"/>
    <tableColumn id="4" name="Cell 1" totalsRowFunction="sum" dataDxfId="395" totalsRowDxfId="60" dataCellStyle="Normal 13 3"/>
    <tableColumn id="5" name="Cell 2" totalsRowFunction="sum" dataDxfId="394" totalsRowDxfId="59" dataCellStyle="Normal 13 3"/>
    <tableColumn id="6" name="Cell 3" totalsRowFunction="sum" dataDxfId="393" totalsRowDxfId="58" dataCellStyle="Normal 13 3"/>
    <tableColumn id="7" name="Cell 4" totalsRowFunction="sum" dataDxfId="392" totalsRowDxfId="57" dataCellStyle="Normal 13 3"/>
    <tableColumn id="8" name="Cell 5" totalsRowFunction="sum" dataDxfId="391" totalsRowDxfId="56" dataCellStyle="Normal 13 3"/>
    <tableColumn id="9" name="Cell 6" totalsRowFunction="sum" dataDxfId="390" totalsRowDxfId="55" dataCellStyle="Normal 13 3"/>
    <tableColumn id="10" name="Cell 15" totalsRowFunction="sum" dataDxfId="389" totalsRowDxfId="54" dataCellStyle="Normal 13 3"/>
    <tableColumn id="11" name="Cell 16" totalsRowFunction="sum" dataDxfId="388" totalsRowDxfId="53" dataCellStyle="Normal 13 3"/>
    <tableColumn id="12" name="Cell 17" totalsRowFunction="sum" dataDxfId="387" totalsRowDxfId="52" dataCellStyle="Normal 13 3"/>
    <tableColumn id="13" name="Cell 7" totalsRowFunction="sum" dataDxfId="386" totalsRowDxfId="51" dataCellStyle="Normal 13 3"/>
    <tableColumn id="14" name="Cell 8" totalsRowFunction="sum" dataDxfId="385" totalsRowDxfId="50" dataCellStyle="Normal 13 3"/>
    <tableColumn id="15" name="Cell 18" totalsRowFunction="sum" dataDxfId="384" totalsRowDxfId="49" dataCellStyle="Normal 13 3"/>
    <tableColumn id="16" name="Cell 9" totalsRowFunction="sum" dataDxfId="383" totalsRowDxfId="48" dataCellStyle="Normal 13 3"/>
    <tableColumn id="17" name="Cell 10" totalsRowFunction="sum" dataDxfId="382" totalsRowDxfId="47" dataCellStyle="Normal 13 3"/>
    <tableColumn id="18" name="Cell 11" totalsRowFunction="sum" dataDxfId="381" totalsRowDxfId="46" dataCellStyle="Normal 13 3"/>
    <tableColumn id="19" name="Cell 12" totalsRowFunction="sum" dataDxfId="380" totalsRowDxfId="45" dataCellStyle="Normal 13 3"/>
    <tableColumn id="20" name="Cell 19" totalsRowFunction="sum" dataDxfId="379" totalsRowDxfId="44" dataCellStyle="Normal 13 3"/>
    <tableColumn id="21" name="Cell 20" totalsRowFunction="sum" dataDxfId="378" totalsRowDxfId="43" dataCellStyle="Normal 13 3"/>
    <tableColumn id="22" name="Cell 13" totalsRowFunction="sum" dataDxfId="377" totalsRowDxfId="42" dataCellStyle="Normal 13 3"/>
    <tableColumn id="23" name="Cell 14" totalsRowFunction="sum" dataDxfId="376" totalsRowDxfId="41" dataCellStyle="Normal 13 3"/>
    <tableColumn id="24" name="Cell 21" totalsRowFunction="sum" dataDxfId="375" totalsRowDxfId="40" dataCellStyle="Normal 13 3"/>
    <tableColumn id="25" name="Cell 22" dataDxfId="374" totalsRowDxfId="39" dataCellStyle="Normal 13 3"/>
    <tableColumn id="26" name="Cell 23" dataDxfId="373" totalsRowDxfId="38" dataCellStyle="Normal 13 3"/>
    <tableColumn id="27" name="Cell 24" dataDxfId="372" totalsRowDxfId="37" dataCellStyle="Normal 13 3"/>
    <tableColumn id="28" name="Cell 25" totalsRowFunction="sum" dataDxfId="371" totalsRowDxfId="36" dataCellStyle="Normal 13 3"/>
    <tableColumn id="29" name="Cell 26" totalsRowFunction="sum" dataDxfId="370" totalsRowDxfId="35" dataCellStyle="Normal 13 3"/>
    <tableColumn id="30" name="Cell 27" totalsRowFunction="sum" dataDxfId="369" totalsRowDxfId="34" dataCellStyle="Normal 13 3"/>
    <tableColumn id="31" name="Cell 28" totalsRowFunction="sum" dataDxfId="368" totalsRowDxfId="33" dataCellStyle="Normal 13 3"/>
    <tableColumn id="32" name="Cell 29" totalsRowFunction="sum" dataDxfId="367" totalsRowDxfId="32" dataCellStyle="Normal 13 3"/>
    <tableColumn id="33" name="Cell 30" totalsRowFunction="sum" dataDxfId="366" totalsRowDxfId="31"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3.xml><?xml version="1.0" encoding="utf-8"?>
<table xmlns="http://schemas.openxmlformats.org/spreadsheetml/2006/main" id="13" name="Jun17Data" displayName="Jun17Data" ref="A8:AE67" totalsRowCount="1" headerRowDxfId="365" dataDxfId="364" headerRowBorderDxfId="362" tableBorderDxfId="363" totalsRowBorderDxfId="361"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360" totalsRowDxfId="30" dataCellStyle="Normal 13 3"/>
    <tableColumn id="4" name="Cell 1" totalsRowFunction="sum" dataDxfId="359" totalsRowDxfId="29" dataCellStyle="Normal 13 3"/>
    <tableColumn id="5" name="Cell 2" totalsRowFunction="sum" dataDxfId="358" totalsRowDxfId="28" dataCellStyle="Normal 13 3"/>
    <tableColumn id="6" name="Cell 3" totalsRowFunction="sum" dataDxfId="357" totalsRowDxfId="27" dataCellStyle="Normal 13 3"/>
    <tableColumn id="7" name="Cell 4" totalsRowFunction="sum" dataDxfId="356" totalsRowDxfId="26" dataCellStyle="Normal 13 3"/>
    <tableColumn id="8" name="Cell 5" totalsRowFunction="sum" dataDxfId="355" totalsRowDxfId="25" dataCellStyle="Normal 13 3"/>
    <tableColumn id="9" name="Cell 6" totalsRowFunction="sum" dataDxfId="354" totalsRowDxfId="24" dataCellStyle="Normal 13 3"/>
    <tableColumn id="10" name="Cell 15" totalsRowFunction="sum" dataDxfId="353" totalsRowDxfId="23" dataCellStyle="Normal 13 3"/>
    <tableColumn id="11" name="Cell 16" totalsRowFunction="sum" dataDxfId="352" totalsRowDxfId="22" dataCellStyle="Normal 13 3"/>
    <tableColumn id="12" name="Cell 17" totalsRowFunction="sum" dataDxfId="351" totalsRowDxfId="21" dataCellStyle="Normal 13 3"/>
    <tableColumn id="13" name="Cell 7" totalsRowFunction="sum" dataDxfId="350" totalsRowDxfId="20" dataCellStyle="Normal 13 3"/>
    <tableColumn id="14" name="Cell 8" totalsRowFunction="sum" dataDxfId="349" totalsRowDxfId="19" dataCellStyle="Normal 13 3"/>
    <tableColumn id="15" name="Cell 18" totalsRowFunction="sum" dataDxfId="348" totalsRowDxfId="18" dataCellStyle="Normal 13 3"/>
    <tableColumn id="16" name="Cell 9" totalsRowFunction="sum" dataDxfId="347" totalsRowDxfId="17" dataCellStyle="Normal 13 3"/>
    <tableColumn id="17" name="Cell 10" totalsRowFunction="sum" dataDxfId="346" totalsRowDxfId="16" dataCellStyle="Normal 13 3"/>
    <tableColumn id="18" name="Cell 11" totalsRowFunction="sum" dataDxfId="345" totalsRowDxfId="15" dataCellStyle="Normal 13 3"/>
    <tableColumn id="19" name="Cell 12" totalsRowFunction="sum" dataDxfId="344" totalsRowDxfId="14" dataCellStyle="Normal 13 3"/>
    <tableColumn id="20" name="Cell 19" totalsRowFunction="sum" dataDxfId="343" totalsRowDxfId="13" dataCellStyle="Normal 13 3"/>
    <tableColumn id="21" name="Cell 20" totalsRowFunction="sum" dataDxfId="342" totalsRowDxfId="12" dataCellStyle="Normal 13 3"/>
    <tableColumn id="22" name="Cell 13" totalsRowFunction="sum" dataDxfId="341" totalsRowDxfId="11" dataCellStyle="Normal 13 3"/>
    <tableColumn id="23" name="Cell 14" totalsRowFunction="sum" dataDxfId="340" totalsRowDxfId="10" dataCellStyle="Normal 13 3"/>
    <tableColumn id="24" name="Cell 21" totalsRowFunction="sum" dataDxfId="339" totalsRowDxfId="9" dataCellStyle="Normal 13 3"/>
    <tableColumn id="25" name="Cell 22" dataDxfId="338" totalsRowDxfId="8" dataCellStyle="Normal 13 3"/>
    <tableColumn id="26" name="Cell 23" dataDxfId="337" totalsRowDxfId="7" dataCellStyle="Normal 13 3"/>
    <tableColumn id="27" name="Cell 24" dataDxfId="336" totalsRowDxfId="6" dataCellStyle="Normal 13 3"/>
    <tableColumn id="28" name="Cell 25" totalsRowFunction="sum" dataDxfId="335" totalsRowDxfId="5" dataCellStyle="Normal 13 3"/>
    <tableColumn id="29" name="Cell 26" totalsRowFunction="sum" dataDxfId="334" totalsRowDxfId="4" dataCellStyle="Normal 13 3"/>
    <tableColumn id="30" name="Cell 27" totalsRowFunction="sum" dataDxfId="333" totalsRowDxfId="3" dataCellStyle="Normal 13 3"/>
    <tableColumn id="31" name="Cell 28" totalsRowFunction="sum" dataDxfId="332" totalsRowDxfId="2" dataCellStyle="Normal 13 3"/>
    <tableColumn id="32" name="Cell 29" totalsRowFunction="sum" dataDxfId="331" totalsRowDxfId="1" dataCellStyle="Normal 13 3"/>
    <tableColumn id="33" name="Cell 30" totalsRowFunction="sum" dataDxfId="330" totalsRowDxfId="0"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2.xml><?xml version="1.0" encoding="utf-8"?>
<table xmlns="http://schemas.openxmlformats.org/spreadsheetml/2006/main" id="2" name="Jul16Data" displayName="Jul16Data" ref="A8:AE67" totalsRowCount="1" headerRowDxfId="823" dataDxfId="822" headerRowBorderDxfId="820" tableBorderDxfId="821" totalsRowBorderDxfId="819"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817" totalsRowDxfId="818"/>
    <tableColumn id="4" name="Cell 1" totalsRowFunction="sum" dataDxfId="815" totalsRowDxfId="816"/>
    <tableColumn id="5" name="Cell 2" totalsRowFunction="sum" dataDxfId="813" totalsRowDxfId="814"/>
    <tableColumn id="6" name="Cell 3" totalsRowFunction="sum" dataDxfId="811" totalsRowDxfId="812"/>
    <tableColumn id="7" name="Cell 4" totalsRowFunction="sum" dataDxfId="809" totalsRowDxfId="810"/>
    <tableColumn id="8" name="Cell 5" totalsRowFunction="sum" dataDxfId="807" totalsRowDxfId="808"/>
    <tableColumn id="9" name="Cell 6" totalsRowFunction="sum" dataDxfId="805" totalsRowDxfId="806"/>
    <tableColumn id="10" name="Cell 15" totalsRowFunction="sum" dataDxfId="803" totalsRowDxfId="804"/>
    <tableColumn id="11" name="Cell 16" totalsRowFunction="sum" dataDxfId="801" totalsRowDxfId="802"/>
    <tableColumn id="12" name="Cell 17" totalsRowFunction="sum" dataDxfId="799" totalsRowDxfId="800"/>
    <tableColumn id="13" name="Cell 7" totalsRowFunction="sum" dataDxfId="797" totalsRowDxfId="798"/>
    <tableColumn id="14" name="Cell 8" totalsRowFunction="sum" dataDxfId="795" totalsRowDxfId="796"/>
    <tableColumn id="15" name="Cell 18" totalsRowFunction="sum" dataDxfId="793" totalsRowDxfId="794"/>
    <tableColumn id="16" name="Cell 9" totalsRowFunction="sum" dataDxfId="791" totalsRowDxfId="792"/>
    <tableColumn id="17" name="Cell 10" totalsRowFunction="sum" dataDxfId="789" totalsRowDxfId="790"/>
    <tableColumn id="18" name="Cell 11" totalsRowFunction="sum" dataDxfId="787" totalsRowDxfId="788"/>
    <tableColumn id="19" name="Cell 12" totalsRowFunction="sum" dataDxfId="785" totalsRowDxfId="786"/>
    <tableColumn id="20" name="Cell 19" totalsRowFunction="sum" dataDxfId="783" totalsRowDxfId="784"/>
    <tableColumn id="21" name="Cell 20" totalsRowFunction="sum" dataDxfId="781" totalsRowDxfId="782"/>
    <tableColumn id="22" name="Cell 13" totalsRowFunction="sum" dataDxfId="779" totalsRowDxfId="780"/>
    <tableColumn id="23" name="Cell 14" totalsRowFunction="sum" dataDxfId="777" totalsRowDxfId="778"/>
    <tableColumn id="24" name="Cell 21" totalsRowFunction="sum" dataDxfId="775" totalsRowDxfId="776"/>
    <tableColumn id="25" name="Cell 22" dataDxfId="773" totalsRowDxfId="774"/>
    <tableColumn id="26" name="Cell 23" dataDxfId="771" totalsRowDxfId="772"/>
    <tableColumn id="27" name="Cell 24" dataDxfId="769" totalsRowDxfId="770"/>
    <tableColumn id="28" name="Cell 25" totalsRowFunction="sum" dataDxfId="767" totalsRowDxfId="768"/>
    <tableColumn id="29" name="Cell 26" totalsRowFunction="sum" dataDxfId="765" totalsRowDxfId="766"/>
    <tableColumn id="30" name="Cell 27" totalsRowFunction="sum" dataDxfId="763" totalsRowDxfId="764"/>
    <tableColumn id="31" name="Cell 28" totalsRowFunction="sum" dataDxfId="761" totalsRowDxfId="762"/>
    <tableColumn id="32" name="Cell 29" totalsRowFunction="sum" dataDxfId="759" totalsRowDxfId="760"/>
    <tableColumn id="33" name="Cell 30" totalsRowFunction="sum" dataDxfId="757" totalsRowDxfId="758"/>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3.xml><?xml version="1.0" encoding="utf-8"?>
<table xmlns="http://schemas.openxmlformats.org/spreadsheetml/2006/main" id="3" name="Aug16Data" displayName="Aug16Data" ref="A8:AE67" totalsRowCount="1" headerRowDxfId="756" dataDxfId="755" headerRowBorderDxfId="753" tableBorderDxfId="754" totalsRowBorderDxfId="752"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751" totalsRowDxfId="309" dataCellStyle="Normal 13 3"/>
    <tableColumn id="4" name="Cell 1" totalsRowFunction="sum" dataDxfId="750" totalsRowDxfId="308" dataCellStyle="Normal 13 3"/>
    <tableColumn id="5" name="Cell 2" totalsRowFunction="sum" dataDxfId="749" totalsRowDxfId="307" dataCellStyle="Normal 13 3"/>
    <tableColumn id="6" name="Cell 3" totalsRowFunction="sum" dataDxfId="748" totalsRowDxfId="306" dataCellStyle="Normal 13 3"/>
    <tableColumn id="7" name="Cell 4" totalsRowFunction="sum" dataDxfId="747" totalsRowDxfId="305" dataCellStyle="Normal 13 3"/>
    <tableColumn id="8" name="Cell 5" totalsRowFunction="sum" dataDxfId="746" totalsRowDxfId="304" dataCellStyle="Normal 13 3"/>
    <tableColumn id="9" name="Cell 6" totalsRowFunction="sum" dataDxfId="745" totalsRowDxfId="303" dataCellStyle="Normal 13 3"/>
    <tableColumn id="10" name="Cell 15" totalsRowFunction="sum" dataDxfId="744" totalsRowDxfId="302" dataCellStyle="Normal 13 3"/>
    <tableColumn id="11" name="Cell 16" totalsRowFunction="sum" dataDxfId="743" totalsRowDxfId="301" dataCellStyle="Normal 13 3"/>
    <tableColumn id="12" name="Cell 17" totalsRowFunction="sum" dataDxfId="742" totalsRowDxfId="300" dataCellStyle="Normal 13 3"/>
    <tableColumn id="13" name="Cell 7" totalsRowFunction="sum" dataDxfId="741" totalsRowDxfId="299" dataCellStyle="Normal 13 3"/>
    <tableColumn id="14" name="Cell 8" totalsRowFunction="sum" dataDxfId="740" totalsRowDxfId="298" dataCellStyle="Normal 13 3"/>
    <tableColumn id="15" name="Cell 18" totalsRowFunction="sum" dataDxfId="739" totalsRowDxfId="297" dataCellStyle="Normal 13 3"/>
    <tableColumn id="16" name="Cell 9" totalsRowFunction="sum" dataDxfId="738" totalsRowDxfId="296" dataCellStyle="Normal 13 3"/>
    <tableColumn id="17" name="Cell 10" totalsRowFunction="sum" dataDxfId="737" totalsRowDxfId="295" dataCellStyle="Normal 13 3"/>
    <tableColumn id="18" name="Cell 11" totalsRowFunction="sum" dataDxfId="736" totalsRowDxfId="294" dataCellStyle="Normal 13 3"/>
    <tableColumn id="19" name="Cell 12" totalsRowFunction="sum" dataDxfId="735" totalsRowDxfId="293" dataCellStyle="Normal 13 3"/>
    <tableColumn id="20" name="Cell 19" totalsRowFunction="sum" dataDxfId="734" totalsRowDxfId="292" dataCellStyle="Normal 13 3"/>
    <tableColumn id="21" name="Cell 20" totalsRowFunction="sum" dataDxfId="733" totalsRowDxfId="291" dataCellStyle="Normal 13 3"/>
    <tableColumn id="22" name="Cell 13" totalsRowFunction="sum" dataDxfId="732" totalsRowDxfId="290" dataCellStyle="Normal 13 3"/>
    <tableColumn id="23" name="Cell 14" totalsRowFunction="sum" dataDxfId="731" totalsRowDxfId="289" dataCellStyle="Normal 13 3"/>
    <tableColumn id="24" name="Cell 21" totalsRowFunction="sum" dataDxfId="730" totalsRowDxfId="288" dataCellStyle="Normal 13 3"/>
    <tableColumn id="25" name="Cell 22" dataDxfId="729" totalsRowDxfId="287" dataCellStyle="Normal 13 3"/>
    <tableColumn id="26" name="Cell 23" dataDxfId="728" totalsRowDxfId="286" dataCellStyle="Normal 13 3"/>
    <tableColumn id="27" name="Cell 24" dataDxfId="727" totalsRowDxfId="285" dataCellStyle="Normal 13 3"/>
    <tableColumn id="28" name="Cell 25" totalsRowFunction="sum" dataDxfId="726" totalsRowDxfId="284" dataCellStyle="Normal 13 3"/>
    <tableColumn id="29" name="Cell 26" totalsRowFunction="sum" dataDxfId="725" totalsRowDxfId="283" dataCellStyle="Normal 13 3"/>
    <tableColumn id="30" name="Cell 27" totalsRowFunction="sum" dataDxfId="724" totalsRowDxfId="282" dataCellStyle="Normal 13 3"/>
    <tableColumn id="31" name="Cell 28" totalsRowFunction="sum" dataDxfId="723" totalsRowDxfId="281" dataCellStyle="Normal 13 3"/>
    <tableColumn id="32" name="Cell 29" totalsRowFunction="sum" dataDxfId="722" totalsRowDxfId="280" dataCellStyle="Normal 13 3"/>
    <tableColumn id="33" name="Cell 30" totalsRowFunction="sum" dataDxfId="721" totalsRowDxfId="279"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4.xml><?xml version="1.0" encoding="utf-8"?>
<table xmlns="http://schemas.openxmlformats.org/spreadsheetml/2006/main" id="4" name="Sep16Data" displayName="Sep16Data" ref="A8:AE67" totalsRowCount="1" headerRowDxfId="720" dataDxfId="719" headerRowBorderDxfId="717" tableBorderDxfId="718" totalsRowBorderDxfId="716"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715" totalsRowDxfId="278" dataCellStyle="Normal 13 3"/>
    <tableColumn id="4" name="Cell 1" totalsRowFunction="sum" dataDxfId="714" totalsRowDxfId="277" dataCellStyle="Normal 13 3"/>
    <tableColumn id="5" name="Cell 2" totalsRowFunction="sum" dataDxfId="713" totalsRowDxfId="276" dataCellStyle="Normal 13 3"/>
    <tableColumn id="6" name="Cell 3" totalsRowFunction="sum" dataDxfId="712" totalsRowDxfId="275" dataCellStyle="Normal 13 3"/>
    <tableColumn id="7" name="Cell 4" totalsRowFunction="sum" dataDxfId="711" totalsRowDxfId="274" dataCellStyle="Normal 13 3"/>
    <tableColumn id="8" name="Cell 5" totalsRowFunction="sum" dataDxfId="710" totalsRowDxfId="273" dataCellStyle="Normal 13 3"/>
    <tableColumn id="9" name="Cell 6" totalsRowFunction="sum" dataDxfId="709" totalsRowDxfId="272" dataCellStyle="Normal 13 3"/>
    <tableColumn id="10" name="Cell 15" totalsRowFunction="sum" dataDxfId="708" totalsRowDxfId="271" dataCellStyle="Normal 13 3"/>
    <tableColumn id="11" name="Cell 16" totalsRowFunction="sum" dataDxfId="707" totalsRowDxfId="270" dataCellStyle="Normal 13 3"/>
    <tableColumn id="12" name="Cell 17" totalsRowFunction="sum" dataDxfId="706" totalsRowDxfId="269" dataCellStyle="Normal 13 3"/>
    <tableColumn id="13" name="Cell 7" totalsRowFunction="sum" dataDxfId="705" totalsRowDxfId="268" dataCellStyle="Normal 13 3"/>
    <tableColumn id="14" name="Cell 8" totalsRowFunction="sum" dataDxfId="704" totalsRowDxfId="267" dataCellStyle="Normal 13 3"/>
    <tableColumn id="15" name="Cell 18" totalsRowFunction="sum" dataDxfId="703" totalsRowDxfId="266" dataCellStyle="Normal 13 3"/>
    <tableColumn id="16" name="Cell 9" totalsRowFunction="sum" dataDxfId="702" totalsRowDxfId="265" dataCellStyle="Normal 13 3"/>
    <tableColumn id="17" name="Cell 10" totalsRowFunction="sum" dataDxfId="701" totalsRowDxfId="264" dataCellStyle="Normal 13 3"/>
    <tableColumn id="18" name="Cell 11" totalsRowFunction="sum" dataDxfId="700" totalsRowDxfId="263" dataCellStyle="Normal 13 3"/>
    <tableColumn id="19" name="Cell 12" totalsRowFunction="sum" dataDxfId="699" totalsRowDxfId="262" dataCellStyle="Normal 13 3"/>
    <tableColumn id="20" name="Cell 19" totalsRowFunction="sum" dataDxfId="698" totalsRowDxfId="261" dataCellStyle="Normal 13 3"/>
    <tableColumn id="21" name="Cell 20" totalsRowFunction="sum" dataDxfId="697" totalsRowDxfId="260" dataCellStyle="Normal 13 3"/>
    <tableColumn id="22" name="Cell 13" totalsRowFunction="sum" dataDxfId="696" totalsRowDxfId="259" dataCellStyle="Normal 13 3"/>
    <tableColumn id="23" name="Cell 14" totalsRowFunction="sum" dataDxfId="695" totalsRowDxfId="258" dataCellStyle="Normal 13 3"/>
    <tableColumn id="24" name="Cell 21" totalsRowFunction="sum" dataDxfId="694" totalsRowDxfId="257" dataCellStyle="Normal 13 3"/>
    <tableColumn id="25" name="Cell 22" dataDxfId="693" totalsRowDxfId="256" dataCellStyle="Normal 13 3"/>
    <tableColumn id="26" name="Cell 23" dataDxfId="692" totalsRowDxfId="255" dataCellStyle="Normal 13 3"/>
    <tableColumn id="27" name="Cell 24" dataDxfId="691" totalsRowDxfId="254" dataCellStyle="Normal 13 3"/>
    <tableColumn id="28" name="Cell 25" totalsRowFunction="sum" dataDxfId="690" totalsRowDxfId="253" dataCellStyle="Normal 13 3"/>
    <tableColumn id="29" name="Cell 26" totalsRowFunction="sum" dataDxfId="689" totalsRowDxfId="252" dataCellStyle="Normal 13 3"/>
    <tableColumn id="30" name="Cell 27" totalsRowFunction="sum" dataDxfId="688" totalsRowDxfId="251" dataCellStyle="Normal 13 3"/>
    <tableColumn id="31" name="Cell 28" totalsRowFunction="sum" dataDxfId="687" totalsRowDxfId="250" dataCellStyle="Normal 13 3"/>
    <tableColumn id="32" name="Cell 29" totalsRowFunction="sum" dataDxfId="686" totalsRowDxfId="249" dataCellStyle="Normal 13 3"/>
    <tableColumn id="33" name="Cell 30" totalsRowFunction="sum" dataDxfId="685" totalsRowDxfId="248"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5.xml><?xml version="1.0" encoding="utf-8"?>
<table xmlns="http://schemas.openxmlformats.org/spreadsheetml/2006/main" id="5" name="Oct16Data" displayName="Oct16Data" ref="A8:AE67" totalsRowCount="1" headerRowDxfId="684" dataDxfId="683" headerRowBorderDxfId="681" tableBorderDxfId="682" totalsRowBorderDxfId="68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79" totalsRowDxfId="247" dataCellStyle="Normal 13 3"/>
    <tableColumn id="4" name="Cell 1" totalsRowFunction="sum" dataDxfId="678" totalsRowDxfId="246" dataCellStyle="Normal 13 3"/>
    <tableColumn id="5" name="Cell 2" totalsRowFunction="sum" dataDxfId="677" totalsRowDxfId="245" dataCellStyle="Normal 13 3"/>
    <tableColumn id="6" name="Cell 3" totalsRowFunction="sum" dataDxfId="676" totalsRowDxfId="244" dataCellStyle="Normal 13 3"/>
    <tableColumn id="7" name="Cell 4" totalsRowFunction="sum" dataDxfId="675" totalsRowDxfId="243" dataCellStyle="Normal 13 3"/>
    <tableColumn id="8" name="Cell 5" totalsRowFunction="sum" dataDxfId="674" totalsRowDxfId="242" dataCellStyle="Normal 13 3"/>
    <tableColumn id="9" name="Cell 6" totalsRowFunction="sum" dataDxfId="673" totalsRowDxfId="241" dataCellStyle="Normal 13 3"/>
    <tableColumn id="10" name="Cell 15" totalsRowFunction="sum" dataDxfId="672" totalsRowDxfId="240" dataCellStyle="Normal 13 3"/>
    <tableColumn id="11" name="Cell 16" totalsRowFunction="sum" dataDxfId="671" totalsRowDxfId="239" dataCellStyle="Normal 13 3"/>
    <tableColumn id="12" name="Cell 17" totalsRowFunction="sum" dataDxfId="670" totalsRowDxfId="238" dataCellStyle="Normal 13 3"/>
    <tableColumn id="13" name="Cell 7" totalsRowFunction="sum" dataDxfId="669" totalsRowDxfId="237" dataCellStyle="Normal 13 3"/>
    <tableColumn id="14" name="Cell 8" totalsRowFunction="sum" dataDxfId="668" totalsRowDxfId="236" dataCellStyle="Normal 13 3"/>
    <tableColumn id="15" name="Cell 18" totalsRowFunction="sum" dataDxfId="667" totalsRowDxfId="235" dataCellStyle="Normal 13 3"/>
    <tableColumn id="16" name="Cell 9" totalsRowFunction="sum" dataDxfId="666" totalsRowDxfId="234" dataCellStyle="Normal 13 3"/>
    <tableColumn id="17" name="Cell 10" totalsRowFunction="sum" dataDxfId="665" totalsRowDxfId="233" dataCellStyle="Normal 13 3"/>
    <tableColumn id="18" name="Cell 11" totalsRowFunction="sum" dataDxfId="664" totalsRowDxfId="232" dataCellStyle="Normal 13 3"/>
    <tableColumn id="19" name="Cell 12" totalsRowFunction="sum" dataDxfId="663" totalsRowDxfId="231" dataCellStyle="Normal 13 3"/>
    <tableColumn id="20" name="Cell 19" totalsRowFunction="sum" dataDxfId="662" totalsRowDxfId="230" dataCellStyle="Normal 13 3"/>
    <tableColumn id="21" name="Cell 20" totalsRowFunction="sum" dataDxfId="661" totalsRowDxfId="229" dataCellStyle="Normal 13 3"/>
    <tableColumn id="22" name="Cell 13" totalsRowFunction="sum" dataDxfId="660" totalsRowDxfId="228" dataCellStyle="Normal 13 3"/>
    <tableColumn id="23" name="Cell 14" totalsRowFunction="sum" dataDxfId="659" totalsRowDxfId="227" dataCellStyle="Normal 13 3"/>
    <tableColumn id="24" name="Cell 21" totalsRowFunction="sum" dataDxfId="658" totalsRowDxfId="226" dataCellStyle="Normal 13 3"/>
    <tableColumn id="25" name="Cell 22" dataDxfId="657" totalsRowDxfId="225" dataCellStyle="Normal 13 3"/>
    <tableColumn id="26" name="Cell 23" dataDxfId="656" totalsRowDxfId="224" dataCellStyle="Normal 13 3"/>
    <tableColumn id="27" name="Cell 24" dataDxfId="655" totalsRowDxfId="223" dataCellStyle="Normal 13 3"/>
    <tableColumn id="28" name="Cell 25" totalsRowFunction="sum" dataDxfId="654" totalsRowDxfId="222" dataCellStyle="Normal 13 3"/>
    <tableColumn id="29" name="Cell 26" totalsRowFunction="sum" dataDxfId="653" totalsRowDxfId="221" dataCellStyle="Normal 13 3"/>
    <tableColumn id="30" name="Cell 27" totalsRowFunction="sum" dataDxfId="652" totalsRowDxfId="220" dataCellStyle="Normal 13 3"/>
    <tableColumn id="31" name="Cell 28" totalsRowFunction="sum" dataDxfId="651" totalsRowDxfId="219" dataCellStyle="Normal 13 3"/>
    <tableColumn id="32" name="Cell 29" totalsRowFunction="sum" dataDxfId="650" totalsRowDxfId="218" dataCellStyle="Normal 13 3"/>
    <tableColumn id="33" name="Cell 30" totalsRowFunction="sum" dataDxfId="649" totalsRowDxfId="217"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6.xml><?xml version="1.0" encoding="utf-8"?>
<table xmlns="http://schemas.openxmlformats.org/spreadsheetml/2006/main" id="6" name="Nov16Data" displayName="Nov16Data" ref="A8:AE67" totalsRowCount="1" headerRowDxfId="648" dataDxfId="647" headerRowBorderDxfId="645" tableBorderDxfId="646" totalsRowBorderDxfId="644"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43" totalsRowDxfId="216" dataCellStyle="Normal 13 3"/>
    <tableColumn id="4" name="Cell 1" totalsRowFunction="sum" dataDxfId="642" totalsRowDxfId="215" dataCellStyle="Normal 13 3"/>
    <tableColumn id="5" name="Cell 2" totalsRowFunction="sum" dataDxfId="641" totalsRowDxfId="214" dataCellStyle="Normal 13 3"/>
    <tableColumn id="6" name="Cell 3" totalsRowFunction="sum" dataDxfId="640" totalsRowDxfId="213" dataCellStyle="Normal 13 3"/>
    <tableColumn id="7" name="Cell 4" totalsRowFunction="sum" dataDxfId="639" totalsRowDxfId="212" dataCellStyle="Normal 13 3"/>
    <tableColumn id="8" name="Cell 5" totalsRowFunction="sum" dataDxfId="638" totalsRowDxfId="211" dataCellStyle="Normal 13 3"/>
    <tableColumn id="9" name="Cell 6" totalsRowFunction="sum" dataDxfId="637" totalsRowDxfId="210" dataCellStyle="Normal 13 3"/>
    <tableColumn id="10" name="Cell 15" totalsRowFunction="sum" dataDxfId="636" totalsRowDxfId="209" dataCellStyle="Normal 13 3"/>
    <tableColumn id="11" name="Cell 16" totalsRowFunction="sum" dataDxfId="635" totalsRowDxfId="208" dataCellStyle="Normal 13 3"/>
    <tableColumn id="12" name="Cell 17" totalsRowFunction="sum" dataDxfId="634" totalsRowDxfId="207" dataCellStyle="Normal 13 3"/>
    <tableColumn id="13" name="Cell 7" totalsRowFunction="sum" dataDxfId="633" totalsRowDxfId="206" dataCellStyle="Normal 13 3"/>
    <tableColumn id="14" name="Cell 8" totalsRowFunction="sum" dataDxfId="632" totalsRowDxfId="205" dataCellStyle="Normal 13 3"/>
    <tableColumn id="15" name="Cell 18" totalsRowFunction="sum" dataDxfId="631" totalsRowDxfId="204" dataCellStyle="Normal 13 3"/>
    <tableColumn id="16" name="Cell 9" totalsRowFunction="sum" dataDxfId="630" totalsRowDxfId="203" dataCellStyle="Normal 13 3"/>
    <tableColumn id="17" name="Cell 10" totalsRowFunction="sum" dataDxfId="629" totalsRowDxfId="202" dataCellStyle="Normal 13 3"/>
    <tableColumn id="18" name="Cell 11" totalsRowFunction="sum" dataDxfId="628" totalsRowDxfId="201" dataCellStyle="Normal 13 3"/>
    <tableColumn id="19" name="Cell 12" totalsRowFunction="sum" dataDxfId="627" totalsRowDxfId="200" dataCellStyle="Normal 13 3"/>
    <tableColumn id="20" name="Cell 19" totalsRowFunction="sum" dataDxfId="626" totalsRowDxfId="199" dataCellStyle="Normal 13 3"/>
    <tableColumn id="21" name="Cell 20" totalsRowFunction="sum" dataDxfId="625" totalsRowDxfId="198" dataCellStyle="Normal 13 3"/>
    <tableColumn id="22" name="Cell 13" totalsRowFunction="sum" dataDxfId="624" totalsRowDxfId="197" dataCellStyle="Normal 13 3"/>
    <tableColumn id="23" name="Cell 14" totalsRowFunction="sum" dataDxfId="623" totalsRowDxfId="196" dataCellStyle="Normal 13 3"/>
    <tableColumn id="24" name="Cell 21" totalsRowFunction="sum" dataDxfId="622" totalsRowDxfId="195" dataCellStyle="Normal 13 3"/>
    <tableColumn id="25" name="Cell 22" dataDxfId="621" totalsRowDxfId="194" dataCellStyle="Normal 13 3"/>
    <tableColumn id="26" name="Cell 23" dataDxfId="620" totalsRowDxfId="193" dataCellStyle="Normal 13 3"/>
    <tableColumn id="27" name="Cell 24" dataDxfId="619" totalsRowDxfId="192" dataCellStyle="Normal 13 3"/>
    <tableColumn id="28" name="Cell 25" totalsRowFunction="sum" dataDxfId="618" totalsRowDxfId="191" dataCellStyle="Normal 13 3"/>
    <tableColumn id="29" name="Cell 26" totalsRowFunction="sum" dataDxfId="617" totalsRowDxfId="190" dataCellStyle="Normal 13 3"/>
    <tableColumn id="30" name="Cell 27" totalsRowFunction="sum" dataDxfId="616" totalsRowDxfId="189" dataCellStyle="Normal 13 3"/>
    <tableColumn id="31" name="Cell 28" totalsRowFunction="sum" dataDxfId="615" totalsRowDxfId="188" dataCellStyle="Normal 13 3"/>
    <tableColumn id="32" name="Cell 29" totalsRowFunction="sum" dataDxfId="614" totalsRowDxfId="187" dataCellStyle="Normal 13 3"/>
    <tableColumn id="33" name="Cell 30" totalsRowFunction="sum" dataDxfId="613" totalsRowDxfId="186"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7.xml><?xml version="1.0" encoding="utf-8"?>
<table xmlns="http://schemas.openxmlformats.org/spreadsheetml/2006/main" id="7" name="Dec16Data" displayName="Dec16Data" ref="A8:AE67" totalsRowCount="1" headerRowDxfId="612" dataDxfId="611" headerRowBorderDxfId="609" tableBorderDxfId="610" totalsRowBorderDxfId="608"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07" totalsRowDxfId="185" dataCellStyle="Normal 13 3"/>
    <tableColumn id="4" name="Cell 1" totalsRowFunction="sum" dataDxfId="606" totalsRowDxfId="184" dataCellStyle="Normal 13 3"/>
    <tableColumn id="5" name="Cell 2" totalsRowFunction="sum" dataDxfId="605" totalsRowDxfId="183" dataCellStyle="Normal 13 3"/>
    <tableColumn id="6" name="Cell 3" totalsRowFunction="sum" dataDxfId="604" totalsRowDxfId="182" dataCellStyle="Normal 13 3"/>
    <tableColumn id="7" name="Cell 4" totalsRowFunction="sum" dataDxfId="603" totalsRowDxfId="181" dataCellStyle="Normal 13 3"/>
    <tableColumn id="8" name="Cell 5" totalsRowFunction="sum" dataDxfId="602" totalsRowDxfId="180" dataCellStyle="Normal 13 3"/>
    <tableColumn id="9" name="Cell 6" totalsRowFunction="sum" dataDxfId="601" totalsRowDxfId="179" dataCellStyle="Normal 13 3"/>
    <tableColumn id="10" name="Cell 15" totalsRowFunction="sum" dataDxfId="600" totalsRowDxfId="178" dataCellStyle="Normal 13 3"/>
    <tableColumn id="11" name="Cell 16" totalsRowFunction="sum" dataDxfId="599" totalsRowDxfId="177" dataCellStyle="Normal 13 3"/>
    <tableColumn id="12" name="Cell 17" totalsRowFunction="sum" dataDxfId="598" totalsRowDxfId="176" dataCellStyle="Normal 13 3"/>
    <tableColumn id="13" name="Cell 7" totalsRowFunction="sum" dataDxfId="597" totalsRowDxfId="175" dataCellStyle="Normal 13 3"/>
    <tableColumn id="14" name="Cell 8" totalsRowFunction="sum" dataDxfId="596" totalsRowDxfId="174" dataCellStyle="Normal 13 3"/>
    <tableColumn id="15" name="Cell 18" totalsRowFunction="sum" dataDxfId="595" totalsRowDxfId="173" dataCellStyle="Normal 13 3"/>
    <tableColumn id="16" name="Cell 9" totalsRowFunction="sum" dataDxfId="594" totalsRowDxfId="172" dataCellStyle="Normal 13 3"/>
    <tableColumn id="17" name="Cell 10" totalsRowFunction="sum" dataDxfId="593" totalsRowDxfId="171" dataCellStyle="Normal 13 3"/>
    <tableColumn id="18" name="Cell 11" totalsRowFunction="sum" dataDxfId="592" totalsRowDxfId="170" dataCellStyle="Normal 13 3"/>
    <tableColumn id="19" name="Cell 12" totalsRowFunction="sum" dataDxfId="591" totalsRowDxfId="169" dataCellStyle="Normal 13 3"/>
    <tableColumn id="20" name="Cell 19" totalsRowFunction="sum" dataDxfId="590" totalsRowDxfId="168" dataCellStyle="Normal 13 3"/>
    <tableColumn id="21" name="Cell 20" totalsRowFunction="sum" dataDxfId="589" totalsRowDxfId="167" dataCellStyle="Normal 13 3"/>
    <tableColumn id="22" name="Cell 13" totalsRowFunction="sum" dataDxfId="588" totalsRowDxfId="166" dataCellStyle="Normal 13 3"/>
    <tableColumn id="23" name="Cell 14" totalsRowFunction="sum" dataDxfId="587" totalsRowDxfId="165" dataCellStyle="Normal 13 3"/>
    <tableColumn id="24" name="Cell 21" totalsRowFunction="sum" dataDxfId="586" totalsRowDxfId="164" dataCellStyle="Normal 13 3"/>
    <tableColumn id="25" name="Cell 22" dataDxfId="585" totalsRowDxfId="163" dataCellStyle="Normal 13 3"/>
    <tableColumn id="26" name="Cell 23" dataDxfId="584" totalsRowDxfId="162" dataCellStyle="Normal 13 3"/>
    <tableColumn id="27" name="Cell 24" dataDxfId="583" totalsRowDxfId="161" dataCellStyle="Normal 13 3"/>
    <tableColumn id="28" name="Cell 25" totalsRowFunction="sum" dataDxfId="582" totalsRowDxfId="160" dataCellStyle="Normal 13 3"/>
    <tableColumn id="29" name="Cell 26" totalsRowFunction="sum" dataDxfId="581" totalsRowDxfId="159" dataCellStyle="Normal 13 3"/>
    <tableColumn id="30" name="Cell 27" totalsRowFunction="sum" dataDxfId="580" totalsRowDxfId="158" dataCellStyle="Normal 13 3"/>
    <tableColumn id="31" name="Cell 28" totalsRowFunction="sum" dataDxfId="579" totalsRowDxfId="157" dataCellStyle="Normal 13 3"/>
    <tableColumn id="32" name="Cell 29" totalsRowFunction="sum" dataDxfId="578" totalsRowDxfId="156" dataCellStyle="Normal 13 3"/>
    <tableColumn id="33" name="Cell 30" totalsRowFunction="sum" dataDxfId="577" totalsRowDxfId="155"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8.xml><?xml version="1.0" encoding="utf-8"?>
<table xmlns="http://schemas.openxmlformats.org/spreadsheetml/2006/main" id="8" name="Jan17Data" displayName="Jan17Data" ref="A8:AE67" totalsRowCount="1" headerRowDxfId="576" dataDxfId="575" headerRowBorderDxfId="573" tableBorderDxfId="574" totalsRowBorderDxfId="572"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571" totalsRowDxfId="154" dataCellStyle="Normal 13 3"/>
    <tableColumn id="4" name="Cell 1" totalsRowFunction="sum" dataDxfId="570" totalsRowDxfId="153" dataCellStyle="Normal 13 3"/>
    <tableColumn id="5" name="Cell 2" totalsRowFunction="sum" dataDxfId="569" totalsRowDxfId="152" dataCellStyle="Normal 13 3"/>
    <tableColumn id="6" name="Cell 3" totalsRowFunction="sum" dataDxfId="568" totalsRowDxfId="151" dataCellStyle="Normal 13 3"/>
    <tableColumn id="7" name="Cell 4" totalsRowFunction="sum" dataDxfId="567" totalsRowDxfId="150" dataCellStyle="Normal 13 3"/>
    <tableColumn id="8" name="Cell 5" totalsRowFunction="sum" dataDxfId="566" totalsRowDxfId="149" dataCellStyle="Normal 13 3"/>
    <tableColumn id="9" name="Cell 6" totalsRowFunction="sum" dataDxfId="565" totalsRowDxfId="148" dataCellStyle="Normal 13 3"/>
    <tableColumn id="10" name="Cell 15" totalsRowFunction="sum" dataDxfId="564" totalsRowDxfId="147" dataCellStyle="Normal 13 3"/>
    <tableColumn id="11" name="Cell 16" totalsRowFunction="sum" dataDxfId="563" totalsRowDxfId="146" dataCellStyle="Normal 13 3"/>
    <tableColumn id="12" name="Cell 17" totalsRowFunction="sum" dataDxfId="562" totalsRowDxfId="145" dataCellStyle="Normal 13 3"/>
    <tableColumn id="13" name="Cell 7" totalsRowFunction="sum" dataDxfId="561" totalsRowDxfId="144" dataCellStyle="Normal 13 3"/>
    <tableColumn id="14" name="Cell 8" totalsRowFunction="sum" dataDxfId="560" totalsRowDxfId="143" dataCellStyle="Normal 13 3"/>
    <tableColumn id="15" name="Cell 18" totalsRowFunction="sum" dataDxfId="559" totalsRowDxfId="142" dataCellStyle="Normal 13 3"/>
    <tableColumn id="16" name="Cell 9" totalsRowFunction="sum" dataDxfId="558" totalsRowDxfId="141" dataCellStyle="Normal 13 3"/>
    <tableColumn id="17" name="Cell 10" totalsRowFunction="sum" dataDxfId="557" totalsRowDxfId="140" dataCellStyle="Normal 13 3"/>
    <tableColumn id="18" name="Cell 11" totalsRowFunction="sum" dataDxfId="556" totalsRowDxfId="139" dataCellStyle="Normal 13 3"/>
    <tableColumn id="19" name="Cell 12" totalsRowFunction="sum" dataDxfId="555" totalsRowDxfId="138" dataCellStyle="Normal 13 3"/>
    <tableColumn id="20" name="Cell 19" totalsRowFunction="sum" dataDxfId="554" totalsRowDxfId="137" dataCellStyle="Normal 13 3"/>
    <tableColumn id="21" name="Cell 20" totalsRowFunction="sum" dataDxfId="553" totalsRowDxfId="136" dataCellStyle="Normal 13 3"/>
    <tableColumn id="22" name="Cell 13" totalsRowFunction="sum" dataDxfId="552" totalsRowDxfId="135" dataCellStyle="Normal 13 3"/>
    <tableColumn id="23" name="Cell 14" totalsRowFunction="sum" dataDxfId="551" totalsRowDxfId="134" dataCellStyle="Normal 13 3"/>
    <tableColumn id="24" name="Cell 21" totalsRowFunction="sum" dataDxfId="550" totalsRowDxfId="133" dataCellStyle="Normal 13 3"/>
    <tableColumn id="25" name="Cell 22" dataDxfId="549" totalsRowDxfId="132" dataCellStyle="Normal 13 3"/>
    <tableColumn id="26" name="Cell 23" dataDxfId="548" totalsRowDxfId="131" dataCellStyle="Normal 13 3"/>
    <tableColumn id="27" name="Cell 24" dataDxfId="547" totalsRowDxfId="130" dataCellStyle="Normal 13 3"/>
    <tableColumn id="28" name="Cell 25" totalsRowFunction="sum" dataDxfId="546" totalsRowDxfId="129" dataCellStyle="Normal 13 3"/>
    <tableColumn id="29" name="Cell 26" totalsRowFunction="sum" dataDxfId="545" totalsRowDxfId="128" dataCellStyle="Normal 13 3"/>
    <tableColumn id="30" name="Cell 27" totalsRowFunction="sum" dataDxfId="544" totalsRowDxfId="127" dataCellStyle="Normal 13 3"/>
    <tableColumn id="31" name="Cell 28" totalsRowFunction="sum" dataDxfId="543" totalsRowDxfId="126" dataCellStyle="Normal 13 3"/>
    <tableColumn id="32" name="Cell 29" totalsRowFunction="sum" dataDxfId="542" totalsRowDxfId="125" dataCellStyle="Normal 13 3"/>
    <tableColumn id="33" name="Cell 30" totalsRowFunction="sum" dataDxfId="541" totalsRowDxfId="124"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9.xml><?xml version="1.0" encoding="utf-8"?>
<table xmlns="http://schemas.openxmlformats.org/spreadsheetml/2006/main" id="9" name="Feb17Data" displayName="Feb17Data" ref="A8:AE67" totalsRowCount="1" headerRowDxfId="540" dataDxfId="539" headerRowBorderDxfId="537" tableBorderDxfId="538" totalsRowBorderDxfId="536"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535" totalsRowDxfId="123" dataCellStyle="Normal 13 3"/>
    <tableColumn id="4" name="Cell 1" totalsRowFunction="sum" dataDxfId="534" totalsRowDxfId="122" dataCellStyle="Normal 13 3"/>
    <tableColumn id="5" name="Cell 2" totalsRowFunction="sum" dataDxfId="533" totalsRowDxfId="121" dataCellStyle="Normal 13 3"/>
    <tableColumn id="6" name="Cell 3" totalsRowFunction="sum" dataDxfId="532" totalsRowDxfId="120" dataCellStyle="Normal 13 3"/>
    <tableColumn id="7" name="Cell 4" totalsRowFunction="sum" dataDxfId="531" totalsRowDxfId="119" dataCellStyle="Normal 13 3"/>
    <tableColumn id="8" name="Cell 5" totalsRowFunction="sum" dataDxfId="530" totalsRowDxfId="118" dataCellStyle="Normal 13 3"/>
    <tableColumn id="9" name="Cell 6" totalsRowFunction="sum" dataDxfId="529" totalsRowDxfId="117" dataCellStyle="Normal 13 3"/>
    <tableColumn id="10" name="Cell 15" totalsRowFunction="sum" dataDxfId="528" totalsRowDxfId="116" dataCellStyle="Normal 13 3"/>
    <tableColumn id="11" name="Cell 16" totalsRowFunction="sum" dataDxfId="527" totalsRowDxfId="115" dataCellStyle="Normal 13 3"/>
    <tableColumn id="12" name="Cell 17" totalsRowFunction="sum" dataDxfId="526" totalsRowDxfId="114" dataCellStyle="Normal 13 3"/>
    <tableColumn id="13" name="Cell 7" totalsRowFunction="sum" dataDxfId="525" totalsRowDxfId="113" dataCellStyle="Normal 13 3"/>
    <tableColumn id="14" name="Cell 8" totalsRowFunction="sum" dataDxfId="524" totalsRowDxfId="112" dataCellStyle="Normal 13 3"/>
    <tableColumn id="15" name="Cell 18" totalsRowFunction="sum" dataDxfId="523" totalsRowDxfId="111" dataCellStyle="Normal 13 3"/>
    <tableColumn id="16" name="Cell 9" totalsRowFunction="sum" dataDxfId="522" totalsRowDxfId="110" dataCellStyle="Normal 13 3"/>
    <tableColumn id="17" name="Cell 10" totalsRowFunction="sum" dataDxfId="521" totalsRowDxfId="109" dataCellStyle="Normal 13 3"/>
    <tableColumn id="18" name="Cell 11" totalsRowFunction="sum" dataDxfId="520" totalsRowDxfId="108" dataCellStyle="Normal 13 3"/>
    <tableColumn id="19" name="Cell 12" totalsRowFunction="sum" dataDxfId="519" totalsRowDxfId="107" dataCellStyle="Normal 13 3"/>
    <tableColumn id="20" name="Cell 19" totalsRowFunction="sum" dataDxfId="518" totalsRowDxfId="106" dataCellStyle="Normal 13 3"/>
    <tableColumn id="21" name="Cell 20" totalsRowFunction="sum" dataDxfId="517" totalsRowDxfId="105" dataCellStyle="Normal 13 3"/>
    <tableColumn id="22" name="Cell 13" totalsRowFunction="sum" dataDxfId="516" totalsRowDxfId="104" dataCellStyle="Normal 13 3"/>
    <tableColumn id="23" name="Cell 14" totalsRowFunction="sum" dataDxfId="515" totalsRowDxfId="103" dataCellStyle="Normal 13 3"/>
    <tableColumn id="24" name="Cell 21" totalsRowFunction="sum" dataDxfId="514" totalsRowDxfId="102" dataCellStyle="Normal 13 3"/>
    <tableColumn id="25" name="Cell 22" dataDxfId="513" totalsRowDxfId="101" dataCellStyle="Normal 13 3"/>
    <tableColumn id="26" name="Cell 23" dataDxfId="512" totalsRowDxfId="100" dataCellStyle="Normal 13 3"/>
    <tableColumn id="27" name="Cell 24" dataDxfId="511" totalsRowDxfId="99" dataCellStyle="Normal 13 3"/>
    <tableColumn id="28" name="Cell 25" totalsRowFunction="sum" dataDxfId="510" totalsRowDxfId="98" dataCellStyle="Normal 13 3"/>
    <tableColumn id="29" name="Cell 26" totalsRowFunction="sum" dataDxfId="509" totalsRowDxfId="97" dataCellStyle="Normal 13 3"/>
    <tableColumn id="30" name="Cell 27" totalsRowFunction="sum" dataDxfId="508" totalsRowDxfId="96" dataCellStyle="Normal 13 3"/>
    <tableColumn id="31" name="Cell 28" totalsRowFunction="sum" dataDxfId="507" totalsRowDxfId="95" dataCellStyle="Normal 13 3"/>
    <tableColumn id="32" name="Cell 29" totalsRowFunction="sum" dataDxfId="506" totalsRowDxfId="94" dataCellStyle="Normal 13 3"/>
    <tableColumn id="33" name="Cell 30" totalsRowFunction="sum" dataDxfId="505" totalsRowDxfId="93"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21"/>
  <sheetViews>
    <sheetView showGridLines="0" tabSelected="1" zoomScaleNormal="100" workbookViewId="0"/>
  </sheetViews>
  <sheetFormatPr defaultRowHeight="12.75"/>
  <cols>
    <col min="1" max="1" width="21.140625" style="205" bestFit="1" customWidth="1"/>
    <col min="2" max="2" width="22.28515625" style="205" bestFit="1" customWidth="1"/>
    <col min="3" max="3" width="60.7109375" style="219" customWidth="1"/>
    <col min="4" max="254" width="9.140625" style="205"/>
    <col min="255" max="255" width="15.85546875" style="205" bestFit="1" customWidth="1"/>
    <col min="256" max="256" width="14.5703125" style="205" bestFit="1" customWidth="1"/>
    <col min="257" max="257" width="24" style="205" bestFit="1" customWidth="1"/>
    <col min="258" max="258" width="69.7109375" style="205" customWidth="1"/>
    <col min="259" max="259" width="12.140625" style="205" customWidth="1"/>
    <col min="260" max="510" width="9.140625" style="205"/>
    <col min="511" max="511" width="15.85546875" style="205" bestFit="1" customWidth="1"/>
    <col min="512" max="512" width="14.5703125" style="205" bestFit="1" customWidth="1"/>
    <col min="513" max="513" width="24" style="205" bestFit="1" customWidth="1"/>
    <col min="514" max="514" width="69.7109375" style="205" customWidth="1"/>
    <col min="515" max="515" width="12.140625" style="205" customWidth="1"/>
    <col min="516" max="766" width="9.140625" style="205"/>
    <col min="767" max="767" width="15.85546875" style="205" bestFit="1" customWidth="1"/>
    <col min="768" max="768" width="14.5703125" style="205" bestFit="1" customWidth="1"/>
    <col min="769" max="769" width="24" style="205" bestFit="1" customWidth="1"/>
    <col min="770" max="770" width="69.7109375" style="205" customWidth="1"/>
    <col min="771" max="771" width="12.140625" style="205" customWidth="1"/>
    <col min="772" max="1022" width="9.140625" style="205"/>
    <col min="1023" max="1023" width="15.85546875" style="205" bestFit="1" customWidth="1"/>
    <col min="1024" max="1024" width="14.5703125" style="205" bestFit="1" customWidth="1"/>
    <col min="1025" max="1025" width="24" style="205" bestFit="1" customWidth="1"/>
    <col min="1026" max="1026" width="69.7109375" style="205" customWidth="1"/>
    <col min="1027" max="1027" width="12.140625" style="205" customWidth="1"/>
    <col min="1028" max="1278" width="9.140625" style="205"/>
    <col min="1279" max="1279" width="15.85546875" style="205" bestFit="1" customWidth="1"/>
    <col min="1280" max="1280" width="14.5703125" style="205" bestFit="1" customWidth="1"/>
    <col min="1281" max="1281" width="24" style="205" bestFit="1" customWidth="1"/>
    <col min="1282" max="1282" width="69.7109375" style="205" customWidth="1"/>
    <col min="1283" max="1283" width="12.140625" style="205" customWidth="1"/>
    <col min="1284" max="1534" width="9.140625" style="205"/>
    <col min="1535" max="1535" width="15.85546875" style="205" bestFit="1" customWidth="1"/>
    <col min="1536" max="1536" width="14.5703125" style="205" bestFit="1" customWidth="1"/>
    <col min="1537" max="1537" width="24" style="205" bestFit="1" customWidth="1"/>
    <col min="1538" max="1538" width="69.7109375" style="205" customWidth="1"/>
    <col min="1539" max="1539" width="12.140625" style="205" customWidth="1"/>
    <col min="1540" max="1790" width="9.140625" style="205"/>
    <col min="1791" max="1791" width="15.85546875" style="205" bestFit="1" customWidth="1"/>
    <col min="1792" max="1792" width="14.5703125" style="205" bestFit="1" customWidth="1"/>
    <col min="1793" max="1793" width="24" style="205" bestFit="1" customWidth="1"/>
    <col min="1794" max="1794" width="69.7109375" style="205" customWidth="1"/>
    <col min="1795" max="1795" width="12.140625" style="205" customWidth="1"/>
    <col min="1796" max="2046" width="9.140625" style="205"/>
    <col min="2047" max="2047" width="15.85546875" style="205" bestFit="1" customWidth="1"/>
    <col min="2048" max="2048" width="14.5703125" style="205" bestFit="1" customWidth="1"/>
    <col min="2049" max="2049" width="24" style="205" bestFit="1" customWidth="1"/>
    <col min="2050" max="2050" width="69.7109375" style="205" customWidth="1"/>
    <col min="2051" max="2051" width="12.140625" style="205" customWidth="1"/>
    <col min="2052" max="2302" width="9.140625" style="205"/>
    <col min="2303" max="2303" width="15.85546875" style="205" bestFit="1" customWidth="1"/>
    <col min="2304" max="2304" width="14.5703125" style="205" bestFit="1" customWidth="1"/>
    <col min="2305" max="2305" width="24" style="205" bestFit="1" customWidth="1"/>
    <col min="2306" max="2306" width="69.7109375" style="205" customWidth="1"/>
    <col min="2307" max="2307" width="12.140625" style="205" customWidth="1"/>
    <col min="2308" max="2558" width="9.140625" style="205"/>
    <col min="2559" max="2559" width="15.85546875" style="205" bestFit="1" customWidth="1"/>
    <col min="2560" max="2560" width="14.5703125" style="205" bestFit="1" customWidth="1"/>
    <col min="2561" max="2561" width="24" style="205" bestFit="1" customWidth="1"/>
    <col min="2562" max="2562" width="69.7109375" style="205" customWidth="1"/>
    <col min="2563" max="2563" width="12.140625" style="205" customWidth="1"/>
    <col min="2564" max="2814" width="9.140625" style="205"/>
    <col min="2815" max="2815" width="15.85546875" style="205" bestFit="1" customWidth="1"/>
    <col min="2816" max="2816" width="14.5703125" style="205" bestFit="1" customWidth="1"/>
    <col min="2817" max="2817" width="24" style="205" bestFit="1" customWidth="1"/>
    <col min="2818" max="2818" width="69.7109375" style="205" customWidth="1"/>
    <col min="2819" max="2819" width="12.140625" style="205" customWidth="1"/>
    <col min="2820" max="3070" width="9.140625" style="205"/>
    <col min="3071" max="3071" width="15.85546875" style="205" bestFit="1" customWidth="1"/>
    <col min="3072" max="3072" width="14.5703125" style="205" bestFit="1" customWidth="1"/>
    <col min="3073" max="3073" width="24" style="205" bestFit="1" customWidth="1"/>
    <col min="3074" max="3074" width="69.7109375" style="205" customWidth="1"/>
    <col min="3075" max="3075" width="12.140625" style="205" customWidth="1"/>
    <col min="3076" max="3326" width="9.140625" style="205"/>
    <col min="3327" max="3327" width="15.85546875" style="205" bestFit="1" customWidth="1"/>
    <col min="3328" max="3328" width="14.5703125" style="205" bestFit="1" customWidth="1"/>
    <col min="3329" max="3329" width="24" style="205" bestFit="1" customWidth="1"/>
    <col min="3330" max="3330" width="69.7109375" style="205" customWidth="1"/>
    <col min="3331" max="3331" width="12.140625" style="205" customWidth="1"/>
    <col min="3332" max="3582" width="9.140625" style="205"/>
    <col min="3583" max="3583" width="15.85546875" style="205" bestFit="1" customWidth="1"/>
    <col min="3584" max="3584" width="14.5703125" style="205" bestFit="1" customWidth="1"/>
    <col min="3585" max="3585" width="24" style="205" bestFit="1" customWidth="1"/>
    <col min="3586" max="3586" width="69.7109375" style="205" customWidth="1"/>
    <col min="3587" max="3587" width="12.140625" style="205" customWidth="1"/>
    <col min="3588" max="3838" width="9.140625" style="205"/>
    <col min="3839" max="3839" width="15.85546875" style="205" bestFit="1" customWidth="1"/>
    <col min="3840" max="3840" width="14.5703125" style="205" bestFit="1" customWidth="1"/>
    <col min="3841" max="3841" width="24" style="205" bestFit="1" customWidth="1"/>
    <col min="3842" max="3842" width="69.7109375" style="205" customWidth="1"/>
    <col min="3843" max="3843" width="12.140625" style="205" customWidth="1"/>
    <col min="3844" max="4094" width="9.140625" style="205"/>
    <col min="4095" max="4095" width="15.85546875" style="205" bestFit="1" customWidth="1"/>
    <col min="4096" max="4096" width="14.5703125" style="205" bestFit="1" customWidth="1"/>
    <col min="4097" max="4097" width="24" style="205" bestFit="1" customWidth="1"/>
    <col min="4098" max="4098" width="69.7109375" style="205" customWidth="1"/>
    <col min="4099" max="4099" width="12.140625" style="205" customWidth="1"/>
    <col min="4100" max="4350" width="9.140625" style="205"/>
    <col min="4351" max="4351" width="15.85546875" style="205" bestFit="1" customWidth="1"/>
    <col min="4352" max="4352" width="14.5703125" style="205" bestFit="1" customWidth="1"/>
    <col min="4353" max="4353" width="24" style="205" bestFit="1" customWidth="1"/>
    <col min="4354" max="4354" width="69.7109375" style="205" customWidth="1"/>
    <col min="4355" max="4355" width="12.140625" style="205" customWidth="1"/>
    <col min="4356" max="4606" width="9.140625" style="205"/>
    <col min="4607" max="4607" width="15.85546875" style="205" bestFit="1" customWidth="1"/>
    <col min="4608" max="4608" width="14.5703125" style="205" bestFit="1" customWidth="1"/>
    <col min="4609" max="4609" width="24" style="205" bestFit="1" customWidth="1"/>
    <col min="4610" max="4610" width="69.7109375" style="205" customWidth="1"/>
    <col min="4611" max="4611" width="12.140625" style="205" customWidth="1"/>
    <col min="4612" max="4862" width="9.140625" style="205"/>
    <col min="4863" max="4863" width="15.85546875" style="205" bestFit="1" customWidth="1"/>
    <col min="4864" max="4864" width="14.5703125" style="205" bestFit="1" customWidth="1"/>
    <col min="4865" max="4865" width="24" style="205" bestFit="1" customWidth="1"/>
    <col min="4866" max="4866" width="69.7109375" style="205" customWidth="1"/>
    <col min="4867" max="4867" width="12.140625" style="205" customWidth="1"/>
    <col min="4868" max="5118" width="9.140625" style="205"/>
    <col min="5119" max="5119" width="15.85546875" style="205" bestFit="1" customWidth="1"/>
    <col min="5120" max="5120" width="14.5703125" style="205" bestFit="1" customWidth="1"/>
    <col min="5121" max="5121" width="24" style="205" bestFit="1" customWidth="1"/>
    <col min="5122" max="5122" width="69.7109375" style="205" customWidth="1"/>
    <col min="5123" max="5123" width="12.140625" style="205" customWidth="1"/>
    <col min="5124" max="5374" width="9.140625" style="205"/>
    <col min="5375" max="5375" width="15.85546875" style="205" bestFit="1" customWidth="1"/>
    <col min="5376" max="5376" width="14.5703125" style="205" bestFit="1" customWidth="1"/>
    <col min="5377" max="5377" width="24" style="205" bestFit="1" customWidth="1"/>
    <col min="5378" max="5378" width="69.7109375" style="205" customWidth="1"/>
    <col min="5379" max="5379" width="12.140625" style="205" customWidth="1"/>
    <col min="5380" max="5630" width="9.140625" style="205"/>
    <col min="5631" max="5631" width="15.85546875" style="205" bestFit="1" customWidth="1"/>
    <col min="5632" max="5632" width="14.5703125" style="205" bestFit="1" customWidth="1"/>
    <col min="5633" max="5633" width="24" style="205" bestFit="1" customWidth="1"/>
    <col min="5634" max="5634" width="69.7109375" style="205" customWidth="1"/>
    <col min="5635" max="5635" width="12.140625" style="205" customWidth="1"/>
    <col min="5636" max="5886" width="9.140625" style="205"/>
    <col min="5887" max="5887" width="15.85546875" style="205" bestFit="1" customWidth="1"/>
    <col min="5888" max="5888" width="14.5703125" style="205" bestFit="1" customWidth="1"/>
    <col min="5889" max="5889" width="24" style="205" bestFit="1" customWidth="1"/>
    <col min="5890" max="5890" width="69.7109375" style="205" customWidth="1"/>
    <col min="5891" max="5891" width="12.140625" style="205" customWidth="1"/>
    <col min="5892" max="6142" width="9.140625" style="205"/>
    <col min="6143" max="6143" width="15.85546875" style="205" bestFit="1" customWidth="1"/>
    <col min="6144" max="6144" width="14.5703125" style="205" bestFit="1" customWidth="1"/>
    <col min="6145" max="6145" width="24" style="205" bestFit="1" customWidth="1"/>
    <col min="6146" max="6146" width="69.7109375" style="205" customWidth="1"/>
    <col min="6147" max="6147" width="12.140625" style="205" customWidth="1"/>
    <col min="6148" max="6398" width="9.140625" style="205"/>
    <col min="6399" max="6399" width="15.85546875" style="205" bestFit="1" customWidth="1"/>
    <col min="6400" max="6400" width="14.5703125" style="205" bestFit="1" customWidth="1"/>
    <col min="6401" max="6401" width="24" style="205" bestFit="1" customWidth="1"/>
    <col min="6402" max="6402" width="69.7109375" style="205" customWidth="1"/>
    <col min="6403" max="6403" width="12.140625" style="205" customWidth="1"/>
    <col min="6404" max="6654" width="9.140625" style="205"/>
    <col min="6655" max="6655" width="15.85546875" style="205" bestFit="1" customWidth="1"/>
    <col min="6656" max="6656" width="14.5703125" style="205" bestFit="1" customWidth="1"/>
    <col min="6657" max="6657" width="24" style="205" bestFit="1" customWidth="1"/>
    <col min="6658" max="6658" width="69.7109375" style="205" customWidth="1"/>
    <col min="6659" max="6659" width="12.140625" style="205" customWidth="1"/>
    <col min="6660" max="6910" width="9.140625" style="205"/>
    <col min="6911" max="6911" width="15.85546875" style="205" bestFit="1" customWidth="1"/>
    <col min="6912" max="6912" width="14.5703125" style="205" bestFit="1" customWidth="1"/>
    <col min="6913" max="6913" width="24" style="205" bestFit="1" customWidth="1"/>
    <col min="6914" max="6914" width="69.7109375" style="205" customWidth="1"/>
    <col min="6915" max="6915" width="12.140625" style="205" customWidth="1"/>
    <col min="6916" max="7166" width="9.140625" style="205"/>
    <col min="7167" max="7167" width="15.85546875" style="205" bestFit="1" customWidth="1"/>
    <col min="7168" max="7168" width="14.5703125" style="205" bestFit="1" customWidth="1"/>
    <col min="7169" max="7169" width="24" style="205" bestFit="1" customWidth="1"/>
    <col min="7170" max="7170" width="69.7109375" style="205" customWidth="1"/>
    <col min="7171" max="7171" width="12.140625" style="205" customWidth="1"/>
    <col min="7172" max="7422" width="9.140625" style="205"/>
    <col min="7423" max="7423" width="15.85546875" style="205" bestFit="1" customWidth="1"/>
    <col min="7424" max="7424" width="14.5703125" style="205" bestFit="1" customWidth="1"/>
    <col min="7425" max="7425" width="24" style="205" bestFit="1" customWidth="1"/>
    <col min="7426" max="7426" width="69.7109375" style="205" customWidth="1"/>
    <col min="7427" max="7427" width="12.140625" style="205" customWidth="1"/>
    <col min="7428" max="7678" width="9.140625" style="205"/>
    <col min="7679" max="7679" width="15.85546875" style="205" bestFit="1" customWidth="1"/>
    <col min="7680" max="7680" width="14.5703125" style="205" bestFit="1" customWidth="1"/>
    <col min="7681" max="7681" width="24" style="205" bestFit="1" customWidth="1"/>
    <col min="7682" max="7682" width="69.7109375" style="205" customWidth="1"/>
    <col min="7683" max="7683" width="12.140625" style="205" customWidth="1"/>
    <col min="7684" max="7934" width="9.140625" style="205"/>
    <col min="7935" max="7935" width="15.85546875" style="205" bestFit="1" customWidth="1"/>
    <col min="7936" max="7936" width="14.5703125" style="205" bestFit="1" customWidth="1"/>
    <col min="7937" max="7937" width="24" style="205" bestFit="1" customWidth="1"/>
    <col min="7938" max="7938" width="69.7109375" style="205" customWidth="1"/>
    <col min="7939" max="7939" width="12.140625" style="205" customWidth="1"/>
    <col min="7940" max="8190" width="9.140625" style="205"/>
    <col min="8191" max="8191" width="15.85546875" style="205" bestFit="1" customWidth="1"/>
    <col min="8192" max="8192" width="14.5703125" style="205" bestFit="1" customWidth="1"/>
    <col min="8193" max="8193" width="24" style="205" bestFit="1" customWidth="1"/>
    <col min="8194" max="8194" width="69.7109375" style="205" customWidth="1"/>
    <col min="8195" max="8195" width="12.140625" style="205" customWidth="1"/>
    <col min="8196" max="8446" width="9.140625" style="205"/>
    <col min="8447" max="8447" width="15.85546875" style="205" bestFit="1" customWidth="1"/>
    <col min="8448" max="8448" width="14.5703125" style="205" bestFit="1" customWidth="1"/>
    <col min="8449" max="8449" width="24" style="205" bestFit="1" customWidth="1"/>
    <col min="8450" max="8450" width="69.7109375" style="205" customWidth="1"/>
    <col min="8451" max="8451" width="12.140625" style="205" customWidth="1"/>
    <col min="8452" max="8702" width="9.140625" style="205"/>
    <col min="8703" max="8703" width="15.85546875" style="205" bestFit="1" customWidth="1"/>
    <col min="8704" max="8704" width="14.5703125" style="205" bestFit="1" customWidth="1"/>
    <col min="8705" max="8705" width="24" style="205" bestFit="1" customWidth="1"/>
    <col min="8706" max="8706" width="69.7109375" style="205" customWidth="1"/>
    <col min="8707" max="8707" width="12.140625" style="205" customWidth="1"/>
    <col min="8708" max="8958" width="9.140625" style="205"/>
    <col min="8959" max="8959" width="15.85546875" style="205" bestFit="1" customWidth="1"/>
    <col min="8960" max="8960" width="14.5703125" style="205" bestFit="1" customWidth="1"/>
    <col min="8961" max="8961" width="24" style="205" bestFit="1" customWidth="1"/>
    <col min="8962" max="8962" width="69.7109375" style="205" customWidth="1"/>
    <col min="8963" max="8963" width="12.140625" style="205" customWidth="1"/>
    <col min="8964" max="9214" width="9.140625" style="205"/>
    <col min="9215" max="9215" width="15.85546875" style="205" bestFit="1" customWidth="1"/>
    <col min="9216" max="9216" width="14.5703125" style="205" bestFit="1" customWidth="1"/>
    <col min="9217" max="9217" width="24" style="205" bestFit="1" customWidth="1"/>
    <col min="9218" max="9218" width="69.7109375" style="205" customWidth="1"/>
    <col min="9219" max="9219" width="12.140625" style="205" customWidth="1"/>
    <col min="9220" max="9470" width="9.140625" style="205"/>
    <col min="9471" max="9471" width="15.85546875" style="205" bestFit="1" customWidth="1"/>
    <col min="9472" max="9472" width="14.5703125" style="205" bestFit="1" customWidth="1"/>
    <col min="9473" max="9473" width="24" style="205" bestFit="1" customWidth="1"/>
    <col min="9474" max="9474" width="69.7109375" style="205" customWidth="1"/>
    <col min="9475" max="9475" width="12.140625" style="205" customWidth="1"/>
    <col min="9476" max="9726" width="9.140625" style="205"/>
    <col min="9727" max="9727" width="15.85546875" style="205" bestFit="1" customWidth="1"/>
    <col min="9728" max="9728" width="14.5703125" style="205" bestFit="1" customWidth="1"/>
    <col min="9729" max="9729" width="24" style="205" bestFit="1" customWidth="1"/>
    <col min="9730" max="9730" width="69.7109375" style="205" customWidth="1"/>
    <col min="9731" max="9731" width="12.140625" style="205" customWidth="1"/>
    <col min="9732" max="9982" width="9.140625" style="205"/>
    <col min="9983" max="9983" width="15.85546875" style="205" bestFit="1" customWidth="1"/>
    <col min="9984" max="9984" width="14.5703125" style="205" bestFit="1" customWidth="1"/>
    <col min="9985" max="9985" width="24" style="205" bestFit="1" customWidth="1"/>
    <col min="9986" max="9986" width="69.7109375" style="205" customWidth="1"/>
    <col min="9987" max="9987" width="12.140625" style="205" customWidth="1"/>
    <col min="9988" max="10238" width="9.140625" style="205"/>
    <col min="10239" max="10239" width="15.85546875" style="205" bestFit="1" customWidth="1"/>
    <col min="10240" max="10240" width="14.5703125" style="205" bestFit="1" customWidth="1"/>
    <col min="10241" max="10241" width="24" style="205" bestFit="1" customWidth="1"/>
    <col min="10242" max="10242" width="69.7109375" style="205" customWidth="1"/>
    <col min="10243" max="10243" width="12.140625" style="205" customWidth="1"/>
    <col min="10244" max="10494" width="9.140625" style="205"/>
    <col min="10495" max="10495" width="15.85546875" style="205" bestFit="1" customWidth="1"/>
    <col min="10496" max="10496" width="14.5703125" style="205" bestFit="1" customWidth="1"/>
    <col min="10497" max="10497" width="24" style="205" bestFit="1" customWidth="1"/>
    <col min="10498" max="10498" width="69.7109375" style="205" customWidth="1"/>
    <col min="10499" max="10499" width="12.140625" style="205" customWidth="1"/>
    <col min="10500" max="10750" width="9.140625" style="205"/>
    <col min="10751" max="10751" width="15.85546875" style="205" bestFit="1" customWidth="1"/>
    <col min="10752" max="10752" width="14.5703125" style="205" bestFit="1" customWidth="1"/>
    <col min="10753" max="10753" width="24" style="205" bestFit="1" customWidth="1"/>
    <col min="10754" max="10754" width="69.7109375" style="205" customWidth="1"/>
    <col min="10755" max="10755" width="12.140625" style="205" customWidth="1"/>
    <col min="10756" max="11006" width="9.140625" style="205"/>
    <col min="11007" max="11007" width="15.85546875" style="205" bestFit="1" customWidth="1"/>
    <col min="11008" max="11008" width="14.5703125" style="205" bestFit="1" customWidth="1"/>
    <col min="11009" max="11009" width="24" style="205" bestFit="1" customWidth="1"/>
    <col min="11010" max="11010" width="69.7109375" style="205" customWidth="1"/>
    <col min="11011" max="11011" width="12.140625" style="205" customWidth="1"/>
    <col min="11012" max="11262" width="9.140625" style="205"/>
    <col min="11263" max="11263" width="15.85546875" style="205" bestFit="1" customWidth="1"/>
    <col min="11264" max="11264" width="14.5703125" style="205" bestFit="1" customWidth="1"/>
    <col min="11265" max="11265" width="24" style="205" bestFit="1" customWidth="1"/>
    <col min="11266" max="11266" width="69.7109375" style="205" customWidth="1"/>
    <col min="11267" max="11267" width="12.140625" style="205" customWidth="1"/>
    <col min="11268" max="11518" width="9.140625" style="205"/>
    <col min="11519" max="11519" width="15.85546875" style="205" bestFit="1" customWidth="1"/>
    <col min="11520" max="11520" width="14.5703125" style="205" bestFit="1" customWidth="1"/>
    <col min="11521" max="11521" width="24" style="205" bestFit="1" customWidth="1"/>
    <col min="11522" max="11522" width="69.7109375" style="205" customWidth="1"/>
    <col min="11523" max="11523" width="12.140625" style="205" customWidth="1"/>
    <col min="11524" max="11774" width="9.140625" style="205"/>
    <col min="11775" max="11775" width="15.85546875" style="205" bestFit="1" customWidth="1"/>
    <col min="11776" max="11776" width="14.5703125" style="205" bestFit="1" customWidth="1"/>
    <col min="11777" max="11777" width="24" style="205" bestFit="1" customWidth="1"/>
    <col min="11778" max="11778" width="69.7109375" style="205" customWidth="1"/>
    <col min="11779" max="11779" width="12.140625" style="205" customWidth="1"/>
    <col min="11780" max="12030" width="9.140625" style="205"/>
    <col min="12031" max="12031" width="15.85546875" style="205" bestFit="1" customWidth="1"/>
    <col min="12032" max="12032" width="14.5703125" style="205" bestFit="1" customWidth="1"/>
    <col min="12033" max="12033" width="24" style="205" bestFit="1" customWidth="1"/>
    <col min="12034" max="12034" width="69.7109375" style="205" customWidth="1"/>
    <col min="12035" max="12035" width="12.140625" style="205" customWidth="1"/>
    <col min="12036" max="12286" width="9.140625" style="205"/>
    <col min="12287" max="12287" width="15.85546875" style="205" bestFit="1" customWidth="1"/>
    <col min="12288" max="12288" width="14.5703125" style="205" bestFit="1" customWidth="1"/>
    <col min="12289" max="12289" width="24" style="205" bestFit="1" customWidth="1"/>
    <col min="12290" max="12290" width="69.7109375" style="205" customWidth="1"/>
    <col min="12291" max="12291" width="12.140625" style="205" customWidth="1"/>
    <col min="12292" max="12542" width="9.140625" style="205"/>
    <col min="12543" max="12543" width="15.85546875" style="205" bestFit="1" customWidth="1"/>
    <col min="12544" max="12544" width="14.5703125" style="205" bestFit="1" customWidth="1"/>
    <col min="12545" max="12545" width="24" style="205" bestFit="1" customWidth="1"/>
    <col min="12546" max="12546" width="69.7109375" style="205" customWidth="1"/>
    <col min="12547" max="12547" width="12.140625" style="205" customWidth="1"/>
    <col min="12548" max="12798" width="9.140625" style="205"/>
    <col min="12799" max="12799" width="15.85546875" style="205" bestFit="1" customWidth="1"/>
    <col min="12800" max="12800" width="14.5703125" style="205" bestFit="1" customWidth="1"/>
    <col min="12801" max="12801" width="24" style="205" bestFit="1" customWidth="1"/>
    <col min="12802" max="12802" width="69.7109375" style="205" customWidth="1"/>
    <col min="12803" max="12803" width="12.140625" style="205" customWidth="1"/>
    <col min="12804" max="13054" width="9.140625" style="205"/>
    <col min="13055" max="13055" width="15.85546875" style="205" bestFit="1" customWidth="1"/>
    <col min="13056" max="13056" width="14.5703125" style="205" bestFit="1" customWidth="1"/>
    <col min="13057" max="13057" width="24" style="205" bestFit="1" customWidth="1"/>
    <col min="13058" max="13058" width="69.7109375" style="205" customWidth="1"/>
    <col min="13059" max="13059" width="12.140625" style="205" customWidth="1"/>
    <col min="13060" max="13310" width="9.140625" style="205"/>
    <col min="13311" max="13311" width="15.85546875" style="205" bestFit="1" customWidth="1"/>
    <col min="13312" max="13312" width="14.5703125" style="205" bestFit="1" customWidth="1"/>
    <col min="13313" max="13313" width="24" style="205" bestFit="1" customWidth="1"/>
    <col min="13314" max="13314" width="69.7109375" style="205" customWidth="1"/>
    <col min="13315" max="13315" width="12.140625" style="205" customWidth="1"/>
    <col min="13316" max="13566" width="9.140625" style="205"/>
    <col min="13567" max="13567" width="15.85546875" style="205" bestFit="1" customWidth="1"/>
    <col min="13568" max="13568" width="14.5703125" style="205" bestFit="1" customWidth="1"/>
    <col min="13569" max="13569" width="24" style="205" bestFit="1" customWidth="1"/>
    <col min="13570" max="13570" width="69.7109375" style="205" customWidth="1"/>
    <col min="13571" max="13571" width="12.140625" style="205" customWidth="1"/>
    <col min="13572" max="13822" width="9.140625" style="205"/>
    <col min="13823" max="13823" width="15.85546875" style="205" bestFit="1" customWidth="1"/>
    <col min="13824" max="13824" width="14.5703125" style="205" bestFit="1" customWidth="1"/>
    <col min="13825" max="13825" width="24" style="205" bestFit="1" customWidth="1"/>
    <col min="13826" max="13826" width="69.7109375" style="205" customWidth="1"/>
    <col min="13827" max="13827" width="12.140625" style="205" customWidth="1"/>
    <col min="13828" max="14078" width="9.140625" style="205"/>
    <col min="14079" max="14079" width="15.85546875" style="205" bestFit="1" customWidth="1"/>
    <col min="14080" max="14080" width="14.5703125" style="205" bestFit="1" customWidth="1"/>
    <col min="14081" max="14081" width="24" style="205" bestFit="1" customWidth="1"/>
    <col min="14082" max="14082" width="69.7109375" style="205" customWidth="1"/>
    <col min="14083" max="14083" width="12.140625" style="205" customWidth="1"/>
    <col min="14084" max="14334" width="9.140625" style="205"/>
    <col min="14335" max="14335" width="15.85546875" style="205" bestFit="1" customWidth="1"/>
    <col min="14336" max="14336" width="14.5703125" style="205" bestFit="1" customWidth="1"/>
    <col min="14337" max="14337" width="24" style="205" bestFit="1" customWidth="1"/>
    <col min="14338" max="14338" width="69.7109375" style="205" customWidth="1"/>
    <col min="14339" max="14339" width="12.140625" style="205" customWidth="1"/>
    <col min="14340" max="14590" width="9.140625" style="205"/>
    <col min="14591" max="14591" width="15.85546875" style="205" bestFit="1" customWidth="1"/>
    <col min="14592" max="14592" width="14.5703125" style="205" bestFit="1" customWidth="1"/>
    <col min="14593" max="14593" width="24" style="205" bestFit="1" customWidth="1"/>
    <col min="14594" max="14594" width="69.7109375" style="205" customWidth="1"/>
    <col min="14595" max="14595" width="12.140625" style="205" customWidth="1"/>
    <col min="14596" max="14846" width="9.140625" style="205"/>
    <col min="14847" max="14847" width="15.85546875" style="205" bestFit="1" customWidth="1"/>
    <col min="14848" max="14848" width="14.5703125" style="205" bestFit="1" customWidth="1"/>
    <col min="14849" max="14849" width="24" style="205" bestFit="1" customWidth="1"/>
    <col min="14850" max="14850" width="69.7109375" style="205" customWidth="1"/>
    <col min="14851" max="14851" width="12.140625" style="205" customWidth="1"/>
    <col min="14852" max="15102" width="9.140625" style="205"/>
    <col min="15103" max="15103" width="15.85546875" style="205" bestFit="1" customWidth="1"/>
    <col min="15104" max="15104" width="14.5703125" style="205" bestFit="1" customWidth="1"/>
    <col min="15105" max="15105" width="24" style="205" bestFit="1" customWidth="1"/>
    <col min="15106" max="15106" width="69.7109375" style="205" customWidth="1"/>
    <col min="15107" max="15107" width="12.140625" style="205" customWidth="1"/>
    <col min="15108" max="15358" width="9.140625" style="205"/>
    <col min="15359" max="15359" width="15.85546875" style="205" bestFit="1" customWidth="1"/>
    <col min="15360" max="15360" width="14.5703125" style="205" bestFit="1" customWidth="1"/>
    <col min="15361" max="15361" width="24" style="205" bestFit="1" customWidth="1"/>
    <col min="15362" max="15362" width="69.7109375" style="205" customWidth="1"/>
    <col min="15363" max="15363" width="12.140625" style="205" customWidth="1"/>
    <col min="15364" max="15614" width="9.140625" style="205"/>
    <col min="15615" max="15615" width="15.85546875" style="205" bestFit="1" customWidth="1"/>
    <col min="15616" max="15616" width="14.5703125" style="205" bestFit="1" customWidth="1"/>
    <col min="15617" max="15617" width="24" style="205" bestFit="1" customWidth="1"/>
    <col min="15618" max="15618" width="69.7109375" style="205" customWidth="1"/>
    <col min="15619" max="15619" width="12.140625" style="205" customWidth="1"/>
    <col min="15620" max="15870" width="9.140625" style="205"/>
    <col min="15871" max="15871" width="15.85546875" style="205" bestFit="1" customWidth="1"/>
    <col min="15872" max="15872" width="14.5703125" style="205" bestFit="1" customWidth="1"/>
    <col min="15873" max="15873" width="24" style="205" bestFit="1" customWidth="1"/>
    <col min="15874" max="15874" width="69.7109375" style="205" customWidth="1"/>
    <col min="15875" max="15875" width="12.140625" style="205" customWidth="1"/>
    <col min="15876" max="16126" width="9.140625" style="205"/>
    <col min="16127" max="16127" width="15.85546875" style="205" bestFit="1" customWidth="1"/>
    <col min="16128" max="16128" width="14.5703125" style="205" bestFit="1" customWidth="1"/>
    <col min="16129" max="16129" width="24" style="205" bestFit="1" customWidth="1"/>
    <col min="16130" max="16130" width="69.7109375" style="205" customWidth="1"/>
    <col min="16131" max="16131" width="12.140625" style="205" customWidth="1"/>
    <col min="16132" max="16384" width="9.140625" style="205"/>
  </cols>
  <sheetData>
    <row r="1" spans="1:7" ht="10.5" customHeight="1">
      <c r="A1" s="204" t="s">
        <v>208</v>
      </c>
      <c r="B1" s="204"/>
      <c r="C1" s="204"/>
      <c r="F1" s="206"/>
      <c r="G1" s="206"/>
    </row>
    <row r="2" spans="1:7" ht="16.5">
      <c r="A2" s="207" t="s">
        <v>206</v>
      </c>
      <c r="B2" s="208"/>
      <c r="C2" s="209"/>
    </row>
    <row r="3" spans="1:7" ht="27.75" customHeight="1">
      <c r="A3" s="210" t="s">
        <v>207</v>
      </c>
      <c r="B3" s="211"/>
      <c r="C3" s="212"/>
    </row>
    <row r="4" spans="1:7" ht="30" customHeight="1" thickBot="1">
      <c r="A4" s="213" t="s">
        <v>1</v>
      </c>
      <c r="B4" s="214" t="s">
        <v>2</v>
      </c>
      <c r="C4" s="215" t="s">
        <v>3</v>
      </c>
    </row>
    <row r="5" spans="1:7" ht="30" customHeight="1" thickTop="1">
      <c r="A5" s="223" t="s">
        <v>8</v>
      </c>
      <c r="B5" s="225">
        <v>42653</v>
      </c>
      <c r="C5" s="216" t="s">
        <v>212</v>
      </c>
      <c r="E5" s="217"/>
      <c r="G5" s="206"/>
    </row>
    <row r="6" spans="1:7" ht="30" customHeight="1">
      <c r="A6" s="223" t="s">
        <v>185</v>
      </c>
      <c r="B6" s="225">
        <v>42822</v>
      </c>
      <c r="C6" s="216" t="s">
        <v>209</v>
      </c>
      <c r="E6" s="217"/>
      <c r="G6" s="206"/>
    </row>
    <row r="7" spans="1:7" ht="30" customHeight="1">
      <c r="A7" s="223" t="s">
        <v>187</v>
      </c>
      <c r="B7" s="225">
        <v>42822</v>
      </c>
      <c r="C7" s="216" t="s">
        <v>209</v>
      </c>
      <c r="E7" s="217"/>
      <c r="G7" s="206"/>
    </row>
    <row r="8" spans="1:7" ht="30" customHeight="1">
      <c r="A8" s="223" t="s">
        <v>189</v>
      </c>
      <c r="B8" s="225">
        <v>42976</v>
      </c>
      <c r="C8" s="216" t="s">
        <v>210</v>
      </c>
      <c r="E8" s="217"/>
      <c r="G8" s="206"/>
    </row>
    <row r="9" spans="1:7" ht="30" customHeight="1">
      <c r="A9" s="223" t="s">
        <v>191</v>
      </c>
      <c r="B9" s="225">
        <v>42976</v>
      </c>
      <c r="C9" s="216" t="s">
        <v>210</v>
      </c>
      <c r="E9" s="217"/>
      <c r="G9" s="206"/>
    </row>
    <row r="10" spans="1:7" ht="30" customHeight="1">
      <c r="A10" s="223" t="s">
        <v>193</v>
      </c>
      <c r="B10" s="225">
        <v>42976</v>
      </c>
      <c r="C10" s="216" t="s">
        <v>210</v>
      </c>
      <c r="E10" s="217"/>
      <c r="G10" s="206"/>
    </row>
    <row r="11" spans="1:7" ht="30" customHeight="1">
      <c r="A11" s="223" t="s">
        <v>195</v>
      </c>
      <c r="B11" s="225">
        <v>42976</v>
      </c>
      <c r="C11" s="216" t="s">
        <v>210</v>
      </c>
      <c r="E11" s="217"/>
      <c r="G11" s="206"/>
    </row>
    <row r="12" spans="1:7" ht="30" customHeight="1">
      <c r="A12" s="223" t="s">
        <v>197</v>
      </c>
      <c r="B12" s="225">
        <v>42976</v>
      </c>
      <c r="C12" s="216" t="s">
        <v>211</v>
      </c>
      <c r="E12" s="217"/>
      <c r="G12" s="206"/>
    </row>
    <row r="13" spans="1:7" ht="30" customHeight="1">
      <c r="A13" s="223" t="s">
        <v>199</v>
      </c>
      <c r="B13" s="225">
        <v>43137</v>
      </c>
      <c r="C13" s="216" t="s">
        <v>212</v>
      </c>
      <c r="E13" s="217"/>
      <c r="G13" s="206"/>
    </row>
    <row r="14" spans="1:7" ht="30" customHeight="1">
      <c r="A14" s="223" t="s">
        <v>201</v>
      </c>
      <c r="B14" s="225">
        <v>42976</v>
      </c>
      <c r="C14" s="216" t="s">
        <v>210</v>
      </c>
      <c r="E14" s="217"/>
      <c r="G14" s="206"/>
    </row>
    <row r="15" spans="1:7" ht="30" customHeight="1">
      <c r="A15" s="223" t="s">
        <v>203</v>
      </c>
      <c r="B15" s="225">
        <v>42976</v>
      </c>
      <c r="C15" s="216" t="s">
        <v>210</v>
      </c>
      <c r="E15" s="217"/>
      <c r="G15" s="206"/>
    </row>
    <row r="16" spans="1:7" ht="30" customHeight="1">
      <c r="A16" s="224" t="s">
        <v>0</v>
      </c>
      <c r="B16" s="225">
        <v>42976</v>
      </c>
      <c r="C16" s="216" t="s">
        <v>211</v>
      </c>
      <c r="E16" s="217"/>
      <c r="G16" s="206"/>
    </row>
    <row r="21" spans="3:9">
      <c r="C21" s="205"/>
      <c r="I21" s="218"/>
    </row>
  </sheetData>
  <mergeCells count="2">
    <mergeCell ref="A2:C2"/>
    <mergeCell ref="A3:C3"/>
  </mergeCells>
  <conditionalFormatting sqref="B5:C16">
    <cfRule type="expression" dxfId="317" priority="1">
      <formula>$B5=""</formula>
    </cfRule>
  </conditionalFormatting>
  <hyperlinks>
    <hyperlink ref="A5" location="'Jul16'!A1" display="July 2016"/>
    <hyperlink ref="A6" location="'Aug16'!A1" display="August 2016"/>
    <hyperlink ref="A7" location="'Sep16'!A1" display="September 2016"/>
    <hyperlink ref="A8" location="'Oct16'!A1" display="October 2016"/>
    <hyperlink ref="A9" location="'Nov16'!A1" display="November 2016"/>
    <hyperlink ref="A10" location="'Dec16'!A1" display="December 2016"/>
    <hyperlink ref="A11" location="'Jan17'!A1" display="January 2017"/>
    <hyperlink ref="A12" location="'Feb17'!A1" display="February 2017"/>
    <hyperlink ref="A13" location="'Mar17'!A1" display="March 2017"/>
    <hyperlink ref="A14" location="'Apr17'!A1" display="April 2017"/>
    <hyperlink ref="A15" location="'May17'!A1" display="May 2017"/>
    <hyperlink ref="A16" location="'Jun17'!A1" display="June 2017"/>
  </hyperlinks>
  <pageMargins left="0.7" right="0.7" top="0.75" bottom="0.75" header="0.3" footer="0.3"/>
  <pageSetup scale="86" orientation="portrait" r:id="rId1"/>
  <headerFooter>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191</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255227</v>
      </c>
      <c r="F12" s="54">
        <v>2</v>
      </c>
      <c r="G12" s="55">
        <v>4973</v>
      </c>
      <c r="H12" s="54">
        <v>3</v>
      </c>
      <c r="I12" s="55">
        <v>342</v>
      </c>
      <c r="J12" s="54">
        <v>4</v>
      </c>
      <c r="K12" s="55">
        <v>1758695</v>
      </c>
      <c r="L12" s="54">
        <v>5</v>
      </c>
      <c r="M12" s="55">
        <v>20688</v>
      </c>
      <c r="N12" s="54">
        <v>6</v>
      </c>
      <c r="O12" s="55">
        <v>10749</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667476</v>
      </c>
      <c r="F14" s="68"/>
      <c r="G14" s="69"/>
      <c r="H14" s="68"/>
      <c r="I14" s="69"/>
      <c r="J14" s="66"/>
      <c r="K14" s="67">
        <v>3500316</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11003</v>
      </c>
      <c r="F16" s="68"/>
      <c r="G16" s="69"/>
      <c r="H16" s="66"/>
      <c r="I16" s="67">
        <v>6661</v>
      </c>
      <c r="J16" s="66"/>
      <c r="K16" s="67">
        <v>49419</v>
      </c>
      <c r="L16" s="68"/>
      <c r="M16" s="69"/>
      <c r="N16" s="66"/>
      <c r="O16" s="67">
        <v>25226</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455</v>
      </c>
      <c r="J18" s="68"/>
      <c r="K18" s="69"/>
      <c r="L18" s="68"/>
      <c r="M18" s="69"/>
      <c r="N18" s="66"/>
      <c r="O18" s="67">
        <v>13806</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2013922</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25661</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11091</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4167792</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60422</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31887</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14261</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2208424</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2208424</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584355895</v>
      </c>
    </row>
    <row r="37" spans="1:26" ht="17.25" customHeight="1">
      <c r="A37" s="97" t="s">
        <v>59</v>
      </c>
      <c r="B37" s="98" t="s">
        <v>60</v>
      </c>
      <c r="C37" s="98"/>
      <c r="D37" s="99"/>
      <c r="E37" s="98"/>
      <c r="F37" s="98"/>
      <c r="G37" s="98"/>
      <c r="H37" s="98"/>
      <c r="I37" s="98"/>
      <c r="J37" s="103"/>
      <c r="K37" s="103"/>
      <c r="L37" s="103"/>
      <c r="M37" s="103"/>
      <c r="N37" s="124">
        <v>29</v>
      </c>
      <c r="O37" s="125">
        <v>5533296</v>
      </c>
    </row>
    <row r="38" spans="1:26" ht="17.25" customHeight="1">
      <c r="A38" s="97" t="s">
        <v>61</v>
      </c>
      <c r="B38" s="98" t="s">
        <v>62</v>
      </c>
      <c r="C38" s="98"/>
      <c r="D38" s="99"/>
      <c r="E38" s="98"/>
      <c r="F38" s="98"/>
      <c r="G38" s="98"/>
      <c r="H38" s="98"/>
      <c r="I38" s="98"/>
      <c r="J38" s="103"/>
      <c r="K38" s="103"/>
      <c r="L38" s="103"/>
      <c r="M38" s="103"/>
      <c r="N38" s="126">
        <v>30</v>
      </c>
      <c r="O38" s="127">
        <v>589889191</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1196845302</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192</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191</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5826</v>
      </c>
      <c r="C9" s="188">
        <v>241</v>
      </c>
      <c r="D9" s="188">
        <v>11</v>
      </c>
      <c r="E9" s="188">
        <v>51366</v>
      </c>
      <c r="F9" s="188">
        <v>1361</v>
      </c>
      <c r="G9" s="188">
        <v>677</v>
      </c>
      <c r="H9" s="188">
        <v>57192</v>
      </c>
      <c r="I9" s="188">
        <v>1602</v>
      </c>
      <c r="J9" s="188">
        <v>688</v>
      </c>
      <c r="K9" s="188">
        <v>13325</v>
      </c>
      <c r="L9" s="188">
        <v>94130</v>
      </c>
      <c r="M9" s="188">
        <v>107455</v>
      </c>
      <c r="N9" s="188">
        <v>577</v>
      </c>
      <c r="O9" s="188">
        <v>316</v>
      </c>
      <c r="P9" s="188">
        <v>3072</v>
      </c>
      <c r="Q9" s="188">
        <v>1753</v>
      </c>
      <c r="R9" s="188">
        <v>3649</v>
      </c>
      <c r="S9" s="188">
        <v>2069</v>
      </c>
      <c r="T9" s="188">
        <v>21</v>
      </c>
      <c r="U9" s="188">
        <v>899</v>
      </c>
      <c r="V9" s="188">
        <v>920</v>
      </c>
      <c r="W9" s="189" t="s">
        <v>125</v>
      </c>
      <c r="X9" s="189" t="s">
        <v>125</v>
      </c>
      <c r="Y9" s="189" t="s">
        <v>125</v>
      </c>
      <c r="Z9" s="188">
        <v>59482</v>
      </c>
      <c r="AA9" s="188">
        <v>59482</v>
      </c>
      <c r="AB9" s="188">
        <v>0</v>
      </c>
      <c r="AC9" s="188">
        <v>15696711</v>
      </c>
      <c r="AD9" s="188">
        <v>341809</v>
      </c>
      <c r="AE9" s="190">
        <v>16038520</v>
      </c>
    </row>
    <row r="10" spans="1:52" ht="15" customHeight="1">
      <c r="A10" s="187" t="s">
        <v>126</v>
      </c>
      <c r="B10" s="188">
        <v>1</v>
      </c>
      <c r="C10" s="188">
        <v>0</v>
      </c>
      <c r="D10" s="188">
        <v>0</v>
      </c>
      <c r="E10" s="188">
        <v>89</v>
      </c>
      <c r="F10" s="188">
        <v>0</v>
      </c>
      <c r="G10" s="188">
        <v>0</v>
      </c>
      <c r="H10" s="188">
        <v>90</v>
      </c>
      <c r="I10" s="188">
        <v>0</v>
      </c>
      <c r="J10" s="188">
        <v>0</v>
      </c>
      <c r="K10" s="188">
        <v>1</v>
      </c>
      <c r="L10" s="188">
        <v>145</v>
      </c>
      <c r="M10" s="188">
        <v>146</v>
      </c>
      <c r="N10" s="188">
        <v>0</v>
      </c>
      <c r="O10" s="188">
        <v>0</v>
      </c>
      <c r="P10" s="188">
        <v>0</v>
      </c>
      <c r="Q10" s="188">
        <v>0</v>
      </c>
      <c r="R10" s="188">
        <v>0</v>
      </c>
      <c r="S10" s="188">
        <v>0</v>
      </c>
      <c r="T10" s="188">
        <v>0</v>
      </c>
      <c r="U10" s="188">
        <v>0</v>
      </c>
      <c r="V10" s="188">
        <v>0</v>
      </c>
      <c r="W10" s="189" t="s">
        <v>125</v>
      </c>
      <c r="X10" s="189" t="s">
        <v>125</v>
      </c>
      <c r="Y10" s="189" t="s">
        <v>125</v>
      </c>
      <c r="Z10" s="188">
        <v>93</v>
      </c>
      <c r="AA10" s="188">
        <v>93</v>
      </c>
      <c r="AB10" s="188">
        <v>0</v>
      </c>
      <c r="AC10" s="188">
        <v>17327</v>
      </c>
      <c r="AD10" s="188">
        <v>0</v>
      </c>
      <c r="AE10" s="190">
        <v>17327</v>
      </c>
    </row>
    <row r="11" spans="1:52" ht="15" customHeight="1">
      <c r="A11" s="187" t="s">
        <v>127</v>
      </c>
      <c r="B11" s="188">
        <v>136</v>
      </c>
      <c r="C11" s="188">
        <v>0</v>
      </c>
      <c r="D11" s="188">
        <v>0</v>
      </c>
      <c r="E11" s="188">
        <v>1598</v>
      </c>
      <c r="F11" s="188">
        <v>1</v>
      </c>
      <c r="G11" s="188">
        <v>1</v>
      </c>
      <c r="H11" s="188">
        <v>1734</v>
      </c>
      <c r="I11" s="188">
        <v>1</v>
      </c>
      <c r="J11" s="188">
        <v>1</v>
      </c>
      <c r="K11" s="188">
        <v>348</v>
      </c>
      <c r="L11" s="188">
        <v>2887</v>
      </c>
      <c r="M11" s="188">
        <v>3235</v>
      </c>
      <c r="N11" s="188">
        <v>0</v>
      </c>
      <c r="O11" s="188">
        <v>0</v>
      </c>
      <c r="P11" s="188">
        <v>2</v>
      </c>
      <c r="Q11" s="188">
        <v>1</v>
      </c>
      <c r="R11" s="188">
        <v>2</v>
      </c>
      <c r="S11" s="188">
        <v>1</v>
      </c>
      <c r="T11" s="188">
        <v>0</v>
      </c>
      <c r="U11" s="188">
        <v>1</v>
      </c>
      <c r="V11" s="188">
        <v>1</v>
      </c>
      <c r="W11" s="189" t="s">
        <v>125</v>
      </c>
      <c r="X11" s="189" t="s">
        <v>125</v>
      </c>
      <c r="Y11" s="189" t="s">
        <v>125</v>
      </c>
      <c r="Z11" s="188">
        <v>1805</v>
      </c>
      <c r="AA11" s="188">
        <v>1805</v>
      </c>
      <c r="AB11" s="188">
        <v>0</v>
      </c>
      <c r="AC11" s="188">
        <v>424999</v>
      </c>
      <c r="AD11" s="188">
        <v>41</v>
      </c>
      <c r="AE11" s="190">
        <v>425040</v>
      </c>
    </row>
    <row r="12" spans="1:52" ht="15" customHeight="1">
      <c r="A12" s="187" t="s">
        <v>128</v>
      </c>
      <c r="B12" s="188">
        <v>1701</v>
      </c>
      <c r="C12" s="188">
        <v>6</v>
      </c>
      <c r="D12" s="188">
        <v>1</v>
      </c>
      <c r="E12" s="188">
        <v>15074</v>
      </c>
      <c r="F12" s="188">
        <v>39</v>
      </c>
      <c r="G12" s="188">
        <v>33</v>
      </c>
      <c r="H12" s="188">
        <v>16775</v>
      </c>
      <c r="I12" s="188">
        <v>45</v>
      </c>
      <c r="J12" s="188">
        <v>34</v>
      </c>
      <c r="K12" s="188">
        <v>4218</v>
      </c>
      <c r="L12" s="188">
        <v>27201</v>
      </c>
      <c r="M12" s="188">
        <v>31419</v>
      </c>
      <c r="N12" s="188">
        <v>8</v>
      </c>
      <c r="O12" s="188">
        <v>6</v>
      </c>
      <c r="P12" s="188">
        <v>112</v>
      </c>
      <c r="Q12" s="188">
        <v>41</v>
      </c>
      <c r="R12" s="188">
        <v>120</v>
      </c>
      <c r="S12" s="188">
        <v>47</v>
      </c>
      <c r="T12" s="188">
        <v>1</v>
      </c>
      <c r="U12" s="188">
        <v>39</v>
      </c>
      <c r="V12" s="188">
        <v>40</v>
      </c>
      <c r="W12" s="189" t="s">
        <v>125</v>
      </c>
      <c r="X12" s="189" t="s">
        <v>125</v>
      </c>
      <c r="Y12" s="189" t="s">
        <v>125</v>
      </c>
      <c r="Z12" s="188">
        <v>17894</v>
      </c>
      <c r="AA12" s="188">
        <v>17894</v>
      </c>
      <c r="AB12" s="188">
        <v>0</v>
      </c>
      <c r="AC12" s="188">
        <v>4306788</v>
      </c>
      <c r="AD12" s="188">
        <v>13581</v>
      </c>
      <c r="AE12" s="190">
        <v>4320369</v>
      </c>
    </row>
    <row r="13" spans="1:52" ht="15" customHeight="1">
      <c r="A13" s="187" t="s">
        <v>129</v>
      </c>
      <c r="B13" s="188">
        <v>185</v>
      </c>
      <c r="C13" s="188">
        <v>0</v>
      </c>
      <c r="D13" s="188">
        <v>0</v>
      </c>
      <c r="E13" s="188">
        <v>2651</v>
      </c>
      <c r="F13" s="188">
        <v>10</v>
      </c>
      <c r="G13" s="188">
        <v>5</v>
      </c>
      <c r="H13" s="188">
        <v>2836</v>
      </c>
      <c r="I13" s="188">
        <v>10</v>
      </c>
      <c r="J13" s="188">
        <v>5</v>
      </c>
      <c r="K13" s="188">
        <v>490</v>
      </c>
      <c r="L13" s="188">
        <v>4654</v>
      </c>
      <c r="M13" s="188">
        <v>5144</v>
      </c>
      <c r="N13" s="188">
        <v>0</v>
      </c>
      <c r="O13" s="188">
        <v>0</v>
      </c>
      <c r="P13" s="188">
        <v>18</v>
      </c>
      <c r="Q13" s="188">
        <v>13</v>
      </c>
      <c r="R13" s="188">
        <v>18</v>
      </c>
      <c r="S13" s="188">
        <v>13</v>
      </c>
      <c r="T13" s="188">
        <v>0</v>
      </c>
      <c r="U13" s="188">
        <v>7</v>
      </c>
      <c r="V13" s="188">
        <v>7</v>
      </c>
      <c r="W13" s="189" t="s">
        <v>125</v>
      </c>
      <c r="X13" s="189" t="s">
        <v>125</v>
      </c>
      <c r="Y13" s="189" t="s">
        <v>125</v>
      </c>
      <c r="Z13" s="188">
        <v>2974</v>
      </c>
      <c r="AA13" s="188">
        <v>2974</v>
      </c>
      <c r="AB13" s="188">
        <v>0</v>
      </c>
      <c r="AC13" s="188">
        <v>690766</v>
      </c>
      <c r="AD13" s="188">
        <v>2435</v>
      </c>
      <c r="AE13" s="190">
        <v>693201</v>
      </c>
    </row>
    <row r="14" spans="1:52" ht="15" customHeight="1">
      <c r="A14" s="187" t="s">
        <v>130</v>
      </c>
      <c r="B14" s="188">
        <v>70</v>
      </c>
      <c r="C14" s="188">
        <v>1</v>
      </c>
      <c r="D14" s="188">
        <v>0</v>
      </c>
      <c r="E14" s="188">
        <v>558</v>
      </c>
      <c r="F14" s="188">
        <v>1</v>
      </c>
      <c r="G14" s="188">
        <v>2</v>
      </c>
      <c r="H14" s="188">
        <v>628</v>
      </c>
      <c r="I14" s="188">
        <v>2</v>
      </c>
      <c r="J14" s="188">
        <v>2</v>
      </c>
      <c r="K14" s="188">
        <v>182</v>
      </c>
      <c r="L14" s="188">
        <v>1267</v>
      </c>
      <c r="M14" s="188">
        <v>1449</v>
      </c>
      <c r="N14" s="188">
        <v>2</v>
      </c>
      <c r="O14" s="188">
        <v>1</v>
      </c>
      <c r="P14" s="188">
        <v>3</v>
      </c>
      <c r="Q14" s="188">
        <v>1</v>
      </c>
      <c r="R14" s="188">
        <v>5</v>
      </c>
      <c r="S14" s="188">
        <v>2</v>
      </c>
      <c r="T14" s="188">
        <v>0</v>
      </c>
      <c r="U14" s="188">
        <v>2</v>
      </c>
      <c r="V14" s="188">
        <v>2</v>
      </c>
      <c r="W14" s="189" t="s">
        <v>125</v>
      </c>
      <c r="X14" s="189" t="s">
        <v>125</v>
      </c>
      <c r="Y14" s="189" t="s">
        <v>125</v>
      </c>
      <c r="Z14" s="188">
        <v>685</v>
      </c>
      <c r="AA14" s="188">
        <v>685</v>
      </c>
      <c r="AB14" s="188">
        <v>0</v>
      </c>
      <c r="AC14" s="188">
        <v>183122</v>
      </c>
      <c r="AD14" s="188">
        <v>381</v>
      </c>
      <c r="AE14" s="190">
        <v>183503</v>
      </c>
    </row>
    <row r="15" spans="1:52" ht="15" customHeight="1">
      <c r="A15" s="187" t="s">
        <v>131</v>
      </c>
      <c r="B15" s="188">
        <v>3892</v>
      </c>
      <c r="C15" s="188">
        <v>101</v>
      </c>
      <c r="D15" s="188">
        <v>1</v>
      </c>
      <c r="E15" s="188">
        <v>28150</v>
      </c>
      <c r="F15" s="188">
        <v>366</v>
      </c>
      <c r="G15" s="188">
        <v>137</v>
      </c>
      <c r="H15" s="188">
        <v>32042</v>
      </c>
      <c r="I15" s="188">
        <v>467</v>
      </c>
      <c r="J15" s="188">
        <v>138</v>
      </c>
      <c r="K15" s="188">
        <v>8969</v>
      </c>
      <c r="L15" s="188">
        <v>54697</v>
      </c>
      <c r="M15" s="188">
        <v>63666</v>
      </c>
      <c r="N15" s="188">
        <v>240</v>
      </c>
      <c r="O15" s="188">
        <v>142</v>
      </c>
      <c r="P15" s="188">
        <v>912</v>
      </c>
      <c r="Q15" s="188">
        <v>497</v>
      </c>
      <c r="R15" s="188">
        <v>1152</v>
      </c>
      <c r="S15" s="188">
        <v>639</v>
      </c>
      <c r="T15" s="188">
        <v>1</v>
      </c>
      <c r="U15" s="188">
        <v>182</v>
      </c>
      <c r="V15" s="188">
        <v>183</v>
      </c>
      <c r="W15" s="189" t="s">
        <v>125</v>
      </c>
      <c r="X15" s="189" t="s">
        <v>125</v>
      </c>
      <c r="Y15" s="189" t="s">
        <v>125</v>
      </c>
      <c r="Z15" s="188">
        <v>38084</v>
      </c>
      <c r="AA15" s="188">
        <v>38084</v>
      </c>
      <c r="AB15" s="188">
        <v>0</v>
      </c>
      <c r="AC15" s="188">
        <v>9239906</v>
      </c>
      <c r="AD15" s="188">
        <v>83462</v>
      </c>
      <c r="AE15" s="190">
        <v>9323368</v>
      </c>
    </row>
    <row r="16" spans="1:52" s="191" customFormat="1" ht="15" customHeight="1">
      <c r="A16" s="187" t="s">
        <v>132</v>
      </c>
      <c r="B16" s="188">
        <v>383</v>
      </c>
      <c r="C16" s="188">
        <v>0</v>
      </c>
      <c r="D16" s="188">
        <v>0</v>
      </c>
      <c r="E16" s="188">
        <v>2163</v>
      </c>
      <c r="F16" s="188">
        <v>2</v>
      </c>
      <c r="G16" s="188">
        <v>0</v>
      </c>
      <c r="H16" s="188">
        <v>2546</v>
      </c>
      <c r="I16" s="188">
        <v>2</v>
      </c>
      <c r="J16" s="188">
        <v>0</v>
      </c>
      <c r="K16" s="188">
        <v>1098</v>
      </c>
      <c r="L16" s="188">
        <v>4125</v>
      </c>
      <c r="M16" s="188">
        <v>5223</v>
      </c>
      <c r="N16" s="188">
        <v>0</v>
      </c>
      <c r="O16" s="188">
        <v>0</v>
      </c>
      <c r="P16" s="188">
        <v>3</v>
      </c>
      <c r="Q16" s="188">
        <v>2</v>
      </c>
      <c r="R16" s="188">
        <v>3</v>
      </c>
      <c r="S16" s="188">
        <v>2</v>
      </c>
      <c r="T16" s="188">
        <v>0</v>
      </c>
      <c r="U16" s="188">
        <v>0</v>
      </c>
      <c r="V16" s="188">
        <v>0</v>
      </c>
      <c r="W16" s="189" t="s">
        <v>125</v>
      </c>
      <c r="X16" s="189" t="s">
        <v>125</v>
      </c>
      <c r="Y16" s="189" t="s">
        <v>125</v>
      </c>
      <c r="Z16" s="188">
        <v>2665</v>
      </c>
      <c r="AA16" s="188">
        <v>2665</v>
      </c>
      <c r="AB16" s="188">
        <v>0</v>
      </c>
      <c r="AC16" s="188">
        <v>695170</v>
      </c>
      <c r="AD16" s="188">
        <v>134</v>
      </c>
      <c r="AE16" s="190">
        <v>695304</v>
      </c>
      <c r="AY16" s="192"/>
      <c r="AZ16" s="192"/>
    </row>
    <row r="17" spans="1:52" s="191" customFormat="1" ht="15" customHeight="1">
      <c r="A17" s="187" t="s">
        <v>133</v>
      </c>
      <c r="B17" s="188">
        <v>517</v>
      </c>
      <c r="C17" s="188">
        <v>3</v>
      </c>
      <c r="D17" s="188">
        <v>0</v>
      </c>
      <c r="E17" s="188">
        <v>6455</v>
      </c>
      <c r="F17" s="188">
        <v>32</v>
      </c>
      <c r="G17" s="188">
        <v>9</v>
      </c>
      <c r="H17" s="188">
        <v>6972</v>
      </c>
      <c r="I17" s="188">
        <v>35</v>
      </c>
      <c r="J17" s="188">
        <v>9</v>
      </c>
      <c r="K17" s="188">
        <v>1253</v>
      </c>
      <c r="L17" s="188">
        <v>11063</v>
      </c>
      <c r="M17" s="188">
        <v>12316</v>
      </c>
      <c r="N17" s="188">
        <v>9</v>
      </c>
      <c r="O17" s="188">
        <v>3</v>
      </c>
      <c r="P17" s="188">
        <v>86</v>
      </c>
      <c r="Q17" s="188">
        <v>38</v>
      </c>
      <c r="R17" s="188">
        <v>95</v>
      </c>
      <c r="S17" s="188">
        <v>41</v>
      </c>
      <c r="T17" s="188">
        <v>0</v>
      </c>
      <c r="U17" s="188">
        <v>12</v>
      </c>
      <c r="V17" s="188">
        <v>12</v>
      </c>
      <c r="W17" s="189" t="s">
        <v>125</v>
      </c>
      <c r="X17" s="189" t="s">
        <v>125</v>
      </c>
      <c r="Y17" s="189" t="s">
        <v>125</v>
      </c>
      <c r="Z17" s="188">
        <v>7378</v>
      </c>
      <c r="AA17" s="188">
        <v>7378</v>
      </c>
      <c r="AB17" s="188">
        <v>0</v>
      </c>
      <c r="AC17" s="188">
        <v>1684104</v>
      </c>
      <c r="AD17" s="188">
        <v>5289</v>
      </c>
      <c r="AE17" s="190">
        <v>1689393</v>
      </c>
      <c r="AY17" s="192"/>
      <c r="AZ17" s="192"/>
    </row>
    <row r="18" spans="1:52" s="191" customFormat="1" ht="15" customHeight="1">
      <c r="A18" s="187" t="s">
        <v>134</v>
      </c>
      <c r="B18" s="188">
        <v>11888</v>
      </c>
      <c r="C18" s="188">
        <v>192</v>
      </c>
      <c r="D18" s="188">
        <v>16</v>
      </c>
      <c r="E18" s="188">
        <v>79072</v>
      </c>
      <c r="F18" s="188">
        <v>671</v>
      </c>
      <c r="G18" s="188">
        <v>202</v>
      </c>
      <c r="H18" s="188">
        <v>90960</v>
      </c>
      <c r="I18" s="188">
        <v>863</v>
      </c>
      <c r="J18" s="188">
        <v>218</v>
      </c>
      <c r="K18" s="188">
        <v>32084</v>
      </c>
      <c r="L18" s="188">
        <v>178381</v>
      </c>
      <c r="M18" s="188">
        <v>210465</v>
      </c>
      <c r="N18" s="188">
        <v>472</v>
      </c>
      <c r="O18" s="188">
        <v>226</v>
      </c>
      <c r="P18" s="188">
        <v>1819</v>
      </c>
      <c r="Q18" s="188">
        <v>782</v>
      </c>
      <c r="R18" s="188">
        <v>2291</v>
      </c>
      <c r="S18" s="188">
        <v>1008</v>
      </c>
      <c r="T18" s="188">
        <v>27</v>
      </c>
      <c r="U18" s="188">
        <v>256</v>
      </c>
      <c r="V18" s="188">
        <v>283</v>
      </c>
      <c r="W18" s="189" t="s">
        <v>125</v>
      </c>
      <c r="X18" s="189" t="s">
        <v>125</v>
      </c>
      <c r="Y18" s="189" t="s">
        <v>125</v>
      </c>
      <c r="Z18" s="188">
        <v>105104</v>
      </c>
      <c r="AA18" s="188">
        <v>105104</v>
      </c>
      <c r="AB18" s="188">
        <v>0</v>
      </c>
      <c r="AC18" s="188">
        <v>31262002</v>
      </c>
      <c r="AD18" s="188">
        <v>168043</v>
      </c>
      <c r="AE18" s="190">
        <v>31430045</v>
      </c>
      <c r="AY18" s="192"/>
      <c r="AZ18" s="192"/>
    </row>
    <row r="19" spans="1:52" s="191" customFormat="1" ht="15" customHeight="1">
      <c r="A19" s="187" t="s">
        <v>135</v>
      </c>
      <c r="B19" s="188">
        <v>210</v>
      </c>
      <c r="C19" s="188">
        <v>2</v>
      </c>
      <c r="D19" s="188">
        <v>0</v>
      </c>
      <c r="E19" s="188">
        <v>1307</v>
      </c>
      <c r="F19" s="188">
        <v>8</v>
      </c>
      <c r="G19" s="188">
        <v>0</v>
      </c>
      <c r="H19" s="188">
        <v>1517</v>
      </c>
      <c r="I19" s="188">
        <v>10</v>
      </c>
      <c r="J19" s="188">
        <v>0</v>
      </c>
      <c r="K19" s="188">
        <v>551</v>
      </c>
      <c r="L19" s="188">
        <v>2947</v>
      </c>
      <c r="M19" s="188">
        <v>3498</v>
      </c>
      <c r="N19" s="188">
        <v>6</v>
      </c>
      <c r="O19" s="188">
        <v>2</v>
      </c>
      <c r="P19" s="188">
        <v>26</v>
      </c>
      <c r="Q19" s="188">
        <v>8</v>
      </c>
      <c r="R19" s="188">
        <v>32</v>
      </c>
      <c r="S19" s="188">
        <v>10</v>
      </c>
      <c r="T19" s="188">
        <v>0</v>
      </c>
      <c r="U19" s="188">
        <v>0</v>
      </c>
      <c r="V19" s="188">
        <v>0</v>
      </c>
      <c r="W19" s="189" t="s">
        <v>125</v>
      </c>
      <c r="X19" s="189" t="s">
        <v>125</v>
      </c>
      <c r="Y19" s="189" t="s">
        <v>125</v>
      </c>
      <c r="Z19" s="188">
        <v>1638</v>
      </c>
      <c r="AA19" s="188">
        <v>1638</v>
      </c>
      <c r="AB19" s="188">
        <v>0</v>
      </c>
      <c r="AC19" s="188">
        <v>429985</v>
      </c>
      <c r="AD19" s="188">
        <v>523</v>
      </c>
      <c r="AE19" s="190">
        <v>430508</v>
      </c>
      <c r="AY19" s="192"/>
      <c r="AZ19" s="192"/>
    </row>
    <row r="20" spans="1:52" s="191" customFormat="1" ht="15" customHeight="1">
      <c r="A20" s="187" t="s">
        <v>136</v>
      </c>
      <c r="B20" s="188">
        <v>874</v>
      </c>
      <c r="C20" s="188">
        <v>0</v>
      </c>
      <c r="D20" s="188">
        <v>0</v>
      </c>
      <c r="E20" s="188">
        <v>11531</v>
      </c>
      <c r="F20" s="188">
        <v>27</v>
      </c>
      <c r="G20" s="188">
        <v>6</v>
      </c>
      <c r="H20" s="188">
        <v>12405</v>
      </c>
      <c r="I20" s="188">
        <v>27</v>
      </c>
      <c r="J20" s="188">
        <v>6</v>
      </c>
      <c r="K20" s="188">
        <v>2164</v>
      </c>
      <c r="L20" s="188">
        <v>18643</v>
      </c>
      <c r="M20" s="188">
        <v>20807</v>
      </c>
      <c r="N20" s="188">
        <v>0</v>
      </c>
      <c r="O20" s="188">
        <v>0</v>
      </c>
      <c r="P20" s="188">
        <v>61</v>
      </c>
      <c r="Q20" s="188">
        <v>30</v>
      </c>
      <c r="R20" s="188">
        <v>61</v>
      </c>
      <c r="S20" s="188">
        <v>30</v>
      </c>
      <c r="T20" s="188">
        <v>0</v>
      </c>
      <c r="U20" s="188">
        <v>8</v>
      </c>
      <c r="V20" s="188">
        <v>8</v>
      </c>
      <c r="W20" s="189" t="s">
        <v>125</v>
      </c>
      <c r="X20" s="189" t="s">
        <v>125</v>
      </c>
      <c r="Y20" s="189" t="s">
        <v>125</v>
      </c>
      <c r="Z20" s="188">
        <v>13056</v>
      </c>
      <c r="AA20" s="188">
        <v>13056</v>
      </c>
      <c r="AB20" s="188">
        <v>0</v>
      </c>
      <c r="AC20" s="188">
        <v>2918810</v>
      </c>
      <c r="AD20" s="188">
        <v>5488</v>
      </c>
      <c r="AE20" s="190">
        <v>2924298</v>
      </c>
      <c r="AY20" s="192"/>
      <c r="AZ20" s="192"/>
    </row>
    <row r="21" spans="1:52" s="191" customFormat="1" ht="15" customHeight="1">
      <c r="A21" s="187" t="s">
        <v>137</v>
      </c>
      <c r="B21" s="188">
        <v>2303</v>
      </c>
      <c r="C21" s="188">
        <v>35</v>
      </c>
      <c r="D21" s="188">
        <v>4</v>
      </c>
      <c r="E21" s="188">
        <v>14987</v>
      </c>
      <c r="F21" s="188">
        <v>327</v>
      </c>
      <c r="G21" s="188">
        <v>54</v>
      </c>
      <c r="H21" s="188">
        <v>17290</v>
      </c>
      <c r="I21" s="188">
        <v>362</v>
      </c>
      <c r="J21" s="188">
        <v>58</v>
      </c>
      <c r="K21" s="188">
        <v>6519</v>
      </c>
      <c r="L21" s="188">
        <v>35056</v>
      </c>
      <c r="M21" s="188">
        <v>41575</v>
      </c>
      <c r="N21" s="188">
        <v>93</v>
      </c>
      <c r="O21" s="188">
        <v>35</v>
      </c>
      <c r="P21" s="188">
        <v>876</v>
      </c>
      <c r="Q21" s="188">
        <v>364</v>
      </c>
      <c r="R21" s="188">
        <v>969</v>
      </c>
      <c r="S21" s="188">
        <v>399</v>
      </c>
      <c r="T21" s="188">
        <v>5</v>
      </c>
      <c r="U21" s="188">
        <v>63</v>
      </c>
      <c r="V21" s="188">
        <v>68</v>
      </c>
      <c r="W21" s="189" t="s">
        <v>125</v>
      </c>
      <c r="X21" s="189" t="s">
        <v>125</v>
      </c>
      <c r="Y21" s="189" t="s">
        <v>125</v>
      </c>
      <c r="Z21" s="188">
        <v>18461</v>
      </c>
      <c r="AA21" s="188">
        <v>18461</v>
      </c>
      <c r="AB21" s="188">
        <v>0</v>
      </c>
      <c r="AC21" s="188">
        <v>5442911</v>
      </c>
      <c r="AD21" s="188">
        <v>48015</v>
      </c>
      <c r="AE21" s="190">
        <v>5490926</v>
      </c>
      <c r="AY21" s="192"/>
      <c r="AZ21" s="192"/>
    </row>
    <row r="22" spans="1:52" s="191" customFormat="1" ht="15" customHeight="1">
      <c r="A22" s="187" t="s">
        <v>138</v>
      </c>
      <c r="B22" s="188">
        <v>92</v>
      </c>
      <c r="C22" s="188">
        <v>0</v>
      </c>
      <c r="D22" s="188">
        <v>0</v>
      </c>
      <c r="E22" s="188">
        <v>914</v>
      </c>
      <c r="F22" s="188">
        <v>7</v>
      </c>
      <c r="G22" s="188">
        <v>2</v>
      </c>
      <c r="H22" s="188">
        <v>1006</v>
      </c>
      <c r="I22" s="188">
        <v>7</v>
      </c>
      <c r="J22" s="188">
        <v>2</v>
      </c>
      <c r="K22" s="188">
        <v>251</v>
      </c>
      <c r="L22" s="188">
        <v>1671</v>
      </c>
      <c r="M22" s="188">
        <v>1922</v>
      </c>
      <c r="N22" s="188">
        <v>0</v>
      </c>
      <c r="O22" s="188">
        <v>0</v>
      </c>
      <c r="P22" s="188">
        <v>12</v>
      </c>
      <c r="Q22" s="188">
        <v>8</v>
      </c>
      <c r="R22" s="188">
        <v>12</v>
      </c>
      <c r="S22" s="188">
        <v>8</v>
      </c>
      <c r="T22" s="188">
        <v>0</v>
      </c>
      <c r="U22" s="188">
        <v>2</v>
      </c>
      <c r="V22" s="188">
        <v>2</v>
      </c>
      <c r="W22" s="189" t="s">
        <v>125</v>
      </c>
      <c r="X22" s="189" t="s">
        <v>125</v>
      </c>
      <c r="Y22" s="189" t="s">
        <v>125</v>
      </c>
      <c r="Z22" s="188">
        <v>1049</v>
      </c>
      <c r="AA22" s="188">
        <v>1049</v>
      </c>
      <c r="AB22" s="188">
        <v>0</v>
      </c>
      <c r="AC22" s="188">
        <v>243646</v>
      </c>
      <c r="AD22" s="188">
        <v>699</v>
      </c>
      <c r="AE22" s="190">
        <v>244345</v>
      </c>
      <c r="AY22" s="192"/>
      <c r="AZ22" s="192"/>
    </row>
    <row r="23" spans="1:52" s="191" customFormat="1" ht="15" customHeight="1">
      <c r="A23" s="187" t="s">
        <v>139</v>
      </c>
      <c r="B23" s="188">
        <v>9806</v>
      </c>
      <c r="C23" s="188">
        <v>51</v>
      </c>
      <c r="D23" s="188">
        <v>0</v>
      </c>
      <c r="E23" s="188">
        <v>59610</v>
      </c>
      <c r="F23" s="188">
        <v>422</v>
      </c>
      <c r="G23" s="188">
        <v>275</v>
      </c>
      <c r="H23" s="188">
        <v>69416</v>
      </c>
      <c r="I23" s="188">
        <v>473</v>
      </c>
      <c r="J23" s="188">
        <v>275</v>
      </c>
      <c r="K23" s="188">
        <v>26337</v>
      </c>
      <c r="L23" s="188">
        <v>134277</v>
      </c>
      <c r="M23" s="188">
        <v>160614</v>
      </c>
      <c r="N23" s="188">
        <v>118</v>
      </c>
      <c r="O23" s="188">
        <v>57</v>
      </c>
      <c r="P23" s="188">
        <v>1162</v>
      </c>
      <c r="Q23" s="188">
        <v>475</v>
      </c>
      <c r="R23" s="188">
        <v>1280</v>
      </c>
      <c r="S23" s="188">
        <v>532</v>
      </c>
      <c r="T23" s="188">
        <v>0</v>
      </c>
      <c r="U23" s="188">
        <v>422</v>
      </c>
      <c r="V23" s="188">
        <v>422</v>
      </c>
      <c r="W23" s="189" t="s">
        <v>125</v>
      </c>
      <c r="X23" s="189" t="s">
        <v>125</v>
      </c>
      <c r="Y23" s="189" t="s">
        <v>125</v>
      </c>
      <c r="Z23" s="188">
        <v>74225</v>
      </c>
      <c r="AA23" s="188">
        <v>74225</v>
      </c>
      <c r="AB23" s="188">
        <v>0</v>
      </c>
      <c r="AC23" s="188">
        <v>21602253</v>
      </c>
      <c r="AD23" s="188">
        <v>123992</v>
      </c>
      <c r="AE23" s="190">
        <v>21726245</v>
      </c>
      <c r="AY23" s="192"/>
      <c r="AZ23" s="192"/>
    </row>
    <row r="24" spans="1:52" s="191" customFormat="1" ht="15" customHeight="1">
      <c r="A24" s="187" t="s">
        <v>140</v>
      </c>
      <c r="B24" s="188">
        <v>1446</v>
      </c>
      <c r="C24" s="188">
        <v>21</v>
      </c>
      <c r="D24" s="188">
        <v>1</v>
      </c>
      <c r="E24" s="188">
        <v>9067</v>
      </c>
      <c r="F24" s="188">
        <v>108</v>
      </c>
      <c r="G24" s="188">
        <v>26</v>
      </c>
      <c r="H24" s="188">
        <v>10513</v>
      </c>
      <c r="I24" s="188">
        <v>129</v>
      </c>
      <c r="J24" s="188">
        <v>27</v>
      </c>
      <c r="K24" s="188">
        <v>3944</v>
      </c>
      <c r="L24" s="188">
        <v>19727</v>
      </c>
      <c r="M24" s="188">
        <v>23671</v>
      </c>
      <c r="N24" s="188">
        <v>51</v>
      </c>
      <c r="O24" s="188">
        <v>21</v>
      </c>
      <c r="P24" s="188">
        <v>328</v>
      </c>
      <c r="Q24" s="188">
        <v>113</v>
      </c>
      <c r="R24" s="188">
        <v>379</v>
      </c>
      <c r="S24" s="188">
        <v>134</v>
      </c>
      <c r="T24" s="188">
        <v>1</v>
      </c>
      <c r="U24" s="188">
        <v>30</v>
      </c>
      <c r="V24" s="188">
        <v>31</v>
      </c>
      <c r="W24" s="189" t="s">
        <v>125</v>
      </c>
      <c r="X24" s="189" t="s">
        <v>125</v>
      </c>
      <c r="Y24" s="189" t="s">
        <v>125</v>
      </c>
      <c r="Z24" s="188">
        <v>11291</v>
      </c>
      <c r="AA24" s="188">
        <v>11291</v>
      </c>
      <c r="AB24" s="188">
        <v>0</v>
      </c>
      <c r="AC24" s="188">
        <v>3082754</v>
      </c>
      <c r="AD24" s="188">
        <v>18514</v>
      </c>
      <c r="AE24" s="190">
        <v>3101268</v>
      </c>
      <c r="AY24" s="192"/>
      <c r="AZ24" s="192"/>
    </row>
    <row r="25" spans="1:52" s="191" customFormat="1" ht="15" customHeight="1">
      <c r="A25" s="187" t="s">
        <v>141</v>
      </c>
      <c r="B25" s="188">
        <v>566</v>
      </c>
      <c r="C25" s="188">
        <v>3</v>
      </c>
      <c r="D25" s="188">
        <v>0</v>
      </c>
      <c r="E25" s="188">
        <v>5963</v>
      </c>
      <c r="F25" s="188">
        <v>23</v>
      </c>
      <c r="G25" s="188">
        <v>6</v>
      </c>
      <c r="H25" s="188">
        <v>6529</v>
      </c>
      <c r="I25" s="188">
        <v>26</v>
      </c>
      <c r="J25" s="188">
        <v>6</v>
      </c>
      <c r="K25" s="188">
        <v>1433</v>
      </c>
      <c r="L25" s="188">
        <v>10897</v>
      </c>
      <c r="M25" s="188">
        <v>12330</v>
      </c>
      <c r="N25" s="188">
        <v>10</v>
      </c>
      <c r="O25" s="188">
        <v>3</v>
      </c>
      <c r="P25" s="188">
        <v>56</v>
      </c>
      <c r="Q25" s="188">
        <v>26</v>
      </c>
      <c r="R25" s="188">
        <v>66</v>
      </c>
      <c r="S25" s="188">
        <v>29</v>
      </c>
      <c r="T25" s="188">
        <v>0</v>
      </c>
      <c r="U25" s="188">
        <v>8</v>
      </c>
      <c r="V25" s="188">
        <v>8</v>
      </c>
      <c r="W25" s="189" t="s">
        <v>125</v>
      </c>
      <c r="X25" s="189" t="s">
        <v>125</v>
      </c>
      <c r="Y25" s="189" t="s">
        <v>125</v>
      </c>
      <c r="Z25" s="188">
        <v>6897</v>
      </c>
      <c r="AA25" s="188">
        <v>6897</v>
      </c>
      <c r="AB25" s="188">
        <v>0</v>
      </c>
      <c r="AC25" s="188">
        <v>1664023</v>
      </c>
      <c r="AD25" s="188">
        <v>3516</v>
      </c>
      <c r="AE25" s="190">
        <v>1667539</v>
      </c>
      <c r="AY25" s="192"/>
      <c r="AZ25" s="192"/>
    </row>
    <row r="26" spans="1:52" s="191" customFormat="1" ht="15" customHeight="1">
      <c r="A26" s="187" t="s">
        <v>142</v>
      </c>
      <c r="B26" s="188">
        <v>234</v>
      </c>
      <c r="C26" s="188">
        <v>0</v>
      </c>
      <c r="D26" s="188">
        <v>0</v>
      </c>
      <c r="E26" s="188">
        <v>1357</v>
      </c>
      <c r="F26" s="188">
        <v>3</v>
      </c>
      <c r="G26" s="188">
        <v>0</v>
      </c>
      <c r="H26" s="188">
        <v>1591</v>
      </c>
      <c r="I26" s="188">
        <v>3</v>
      </c>
      <c r="J26" s="188">
        <v>0</v>
      </c>
      <c r="K26" s="188">
        <v>641</v>
      </c>
      <c r="L26" s="188">
        <v>2505</v>
      </c>
      <c r="M26" s="188">
        <v>3146</v>
      </c>
      <c r="N26" s="188">
        <v>0</v>
      </c>
      <c r="O26" s="188">
        <v>0</v>
      </c>
      <c r="P26" s="188">
        <v>6</v>
      </c>
      <c r="Q26" s="188">
        <v>4</v>
      </c>
      <c r="R26" s="188">
        <v>6</v>
      </c>
      <c r="S26" s="188">
        <v>4</v>
      </c>
      <c r="T26" s="188">
        <v>0</v>
      </c>
      <c r="U26" s="188">
        <v>0</v>
      </c>
      <c r="V26" s="188">
        <v>0</v>
      </c>
      <c r="W26" s="189" t="s">
        <v>125</v>
      </c>
      <c r="X26" s="189" t="s">
        <v>125</v>
      </c>
      <c r="Y26" s="189" t="s">
        <v>125</v>
      </c>
      <c r="Z26" s="188">
        <v>1716</v>
      </c>
      <c r="AA26" s="188">
        <v>1716</v>
      </c>
      <c r="AB26" s="188">
        <v>0</v>
      </c>
      <c r="AC26" s="188">
        <v>447037</v>
      </c>
      <c r="AD26" s="188">
        <v>1082</v>
      </c>
      <c r="AE26" s="190">
        <v>448119</v>
      </c>
      <c r="AY26" s="192"/>
      <c r="AZ26" s="192"/>
    </row>
    <row r="27" spans="1:52" s="191" customFormat="1" ht="15" customHeight="1">
      <c r="A27" s="187" t="s">
        <v>143</v>
      </c>
      <c r="B27" s="188">
        <v>87346</v>
      </c>
      <c r="C27" s="188">
        <v>2269</v>
      </c>
      <c r="D27" s="188">
        <v>247</v>
      </c>
      <c r="E27" s="188">
        <v>451333</v>
      </c>
      <c r="F27" s="188">
        <v>5245</v>
      </c>
      <c r="G27" s="188">
        <v>3218</v>
      </c>
      <c r="H27" s="188">
        <v>538679</v>
      </c>
      <c r="I27" s="188">
        <v>7514</v>
      </c>
      <c r="J27" s="188">
        <v>3465</v>
      </c>
      <c r="K27" s="188">
        <v>231162</v>
      </c>
      <c r="L27" s="188">
        <v>862483</v>
      </c>
      <c r="M27" s="188">
        <v>1093645</v>
      </c>
      <c r="N27" s="188">
        <v>4763</v>
      </c>
      <c r="O27" s="188">
        <v>3089</v>
      </c>
      <c r="P27" s="188">
        <v>12070</v>
      </c>
      <c r="Q27" s="188">
        <v>6458</v>
      </c>
      <c r="R27" s="188">
        <v>16833</v>
      </c>
      <c r="S27" s="188">
        <v>9547</v>
      </c>
      <c r="T27" s="188">
        <v>296</v>
      </c>
      <c r="U27" s="188">
        <v>4137</v>
      </c>
      <c r="V27" s="188">
        <v>4433</v>
      </c>
      <c r="W27" s="189" t="s">
        <v>125</v>
      </c>
      <c r="X27" s="189" t="s">
        <v>125</v>
      </c>
      <c r="Y27" s="189" t="s">
        <v>125</v>
      </c>
      <c r="Z27" s="188">
        <v>582587</v>
      </c>
      <c r="AA27" s="188">
        <v>582587</v>
      </c>
      <c r="AB27" s="188">
        <v>0</v>
      </c>
      <c r="AC27" s="188">
        <v>160053799</v>
      </c>
      <c r="AD27" s="188">
        <v>1822013</v>
      </c>
      <c r="AE27" s="190">
        <v>161875812</v>
      </c>
      <c r="AY27" s="192"/>
      <c r="AZ27" s="192"/>
    </row>
    <row r="28" spans="1:52" s="191" customFormat="1" ht="15" customHeight="1">
      <c r="A28" s="187" t="s">
        <v>144</v>
      </c>
      <c r="B28" s="188">
        <v>1616</v>
      </c>
      <c r="C28" s="188">
        <v>10</v>
      </c>
      <c r="D28" s="188">
        <v>1</v>
      </c>
      <c r="E28" s="188">
        <v>10025</v>
      </c>
      <c r="F28" s="188">
        <v>54</v>
      </c>
      <c r="G28" s="188">
        <v>7</v>
      </c>
      <c r="H28" s="188">
        <v>11641</v>
      </c>
      <c r="I28" s="188">
        <v>64</v>
      </c>
      <c r="J28" s="188">
        <v>8</v>
      </c>
      <c r="K28" s="188">
        <v>4419</v>
      </c>
      <c r="L28" s="188">
        <v>23790</v>
      </c>
      <c r="M28" s="188">
        <v>28209</v>
      </c>
      <c r="N28" s="188">
        <v>29</v>
      </c>
      <c r="O28" s="188">
        <v>10</v>
      </c>
      <c r="P28" s="188">
        <v>165</v>
      </c>
      <c r="Q28" s="188">
        <v>57</v>
      </c>
      <c r="R28" s="188">
        <v>194</v>
      </c>
      <c r="S28" s="188">
        <v>67</v>
      </c>
      <c r="T28" s="188">
        <v>1</v>
      </c>
      <c r="U28" s="188">
        <v>12</v>
      </c>
      <c r="V28" s="188">
        <v>13</v>
      </c>
      <c r="W28" s="189" t="s">
        <v>125</v>
      </c>
      <c r="X28" s="189" t="s">
        <v>125</v>
      </c>
      <c r="Y28" s="189" t="s">
        <v>125</v>
      </c>
      <c r="Z28" s="188">
        <v>8970</v>
      </c>
      <c r="AA28" s="188">
        <v>8970</v>
      </c>
      <c r="AB28" s="188">
        <v>0</v>
      </c>
      <c r="AC28" s="188">
        <v>3713513</v>
      </c>
      <c r="AD28" s="188">
        <v>5907</v>
      </c>
      <c r="AE28" s="190">
        <v>3719420</v>
      </c>
      <c r="AY28" s="192"/>
      <c r="AZ28" s="192"/>
    </row>
    <row r="29" spans="1:52" s="191" customFormat="1" ht="15" customHeight="1">
      <c r="A29" s="187" t="s">
        <v>145</v>
      </c>
      <c r="B29" s="188">
        <v>527</v>
      </c>
      <c r="C29" s="188">
        <v>35</v>
      </c>
      <c r="D29" s="188">
        <v>3</v>
      </c>
      <c r="E29" s="188">
        <v>5306</v>
      </c>
      <c r="F29" s="188">
        <v>217</v>
      </c>
      <c r="G29" s="188">
        <v>64</v>
      </c>
      <c r="H29" s="188">
        <v>5833</v>
      </c>
      <c r="I29" s="188">
        <v>252</v>
      </c>
      <c r="J29" s="188">
        <v>67</v>
      </c>
      <c r="K29" s="188">
        <v>1139</v>
      </c>
      <c r="L29" s="188">
        <v>8137</v>
      </c>
      <c r="M29" s="188">
        <v>9276</v>
      </c>
      <c r="N29" s="188">
        <v>67</v>
      </c>
      <c r="O29" s="188">
        <v>40</v>
      </c>
      <c r="P29" s="188">
        <v>440</v>
      </c>
      <c r="Q29" s="188">
        <v>262</v>
      </c>
      <c r="R29" s="188">
        <v>507</v>
      </c>
      <c r="S29" s="188">
        <v>302</v>
      </c>
      <c r="T29" s="188">
        <v>3</v>
      </c>
      <c r="U29" s="188">
        <v>79</v>
      </c>
      <c r="V29" s="188">
        <v>82</v>
      </c>
      <c r="W29" s="189" t="s">
        <v>125</v>
      </c>
      <c r="X29" s="189" t="s">
        <v>125</v>
      </c>
      <c r="Y29" s="189" t="s">
        <v>125</v>
      </c>
      <c r="Z29" s="188">
        <v>6442</v>
      </c>
      <c r="AA29" s="188">
        <v>6442</v>
      </c>
      <c r="AB29" s="188">
        <v>0</v>
      </c>
      <c r="AC29" s="188">
        <v>1392456</v>
      </c>
      <c r="AD29" s="188">
        <v>33779</v>
      </c>
      <c r="AE29" s="190">
        <v>1426235</v>
      </c>
      <c r="AY29" s="192"/>
      <c r="AZ29" s="192"/>
    </row>
    <row r="30" spans="1:52" s="191" customFormat="1" ht="15" customHeight="1">
      <c r="A30" s="187" t="s">
        <v>146</v>
      </c>
      <c r="B30" s="188">
        <v>85</v>
      </c>
      <c r="C30" s="188">
        <v>1</v>
      </c>
      <c r="D30" s="188">
        <v>0</v>
      </c>
      <c r="E30" s="188">
        <v>934</v>
      </c>
      <c r="F30" s="188">
        <v>4</v>
      </c>
      <c r="G30" s="188">
        <v>2</v>
      </c>
      <c r="H30" s="188">
        <v>1019</v>
      </c>
      <c r="I30" s="188">
        <v>5</v>
      </c>
      <c r="J30" s="188">
        <v>2</v>
      </c>
      <c r="K30" s="188">
        <v>239</v>
      </c>
      <c r="L30" s="188">
        <v>1643</v>
      </c>
      <c r="M30" s="188">
        <v>1882</v>
      </c>
      <c r="N30" s="188">
        <v>1</v>
      </c>
      <c r="O30" s="188">
        <v>1</v>
      </c>
      <c r="P30" s="188">
        <v>8</v>
      </c>
      <c r="Q30" s="188">
        <v>4</v>
      </c>
      <c r="R30" s="188">
        <v>9</v>
      </c>
      <c r="S30" s="188">
        <v>5</v>
      </c>
      <c r="T30" s="188">
        <v>0</v>
      </c>
      <c r="U30" s="188">
        <v>2</v>
      </c>
      <c r="V30" s="188">
        <v>2</v>
      </c>
      <c r="W30" s="189" t="s">
        <v>125</v>
      </c>
      <c r="X30" s="189" t="s">
        <v>125</v>
      </c>
      <c r="Y30" s="189" t="s">
        <v>125</v>
      </c>
      <c r="Z30" s="188">
        <v>1068</v>
      </c>
      <c r="AA30" s="188">
        <v>1068</v>
      </c>
      <c r="AB30" s="188">
        <v>0</v>
      </c>
      <c r="AC30" s="188">
        <v>253056</v>
      </c>
      <c r="AD30" s="188">
        <v>1272</v>
      </c>
      <c r="AE30" s="190">
        <v>254328</v>
      </c>
      <c r="AY30" s="192"/>
      <c r="AZ30" s="192"/>
    </row>
    <row r="31" spans="1:52" s="191" customFormat="1" ht="15" customHeight="1">
      <c r="A31" s="187" t="s">
        <v>147</v>
      </c>
      <c r="B31" s="188">
        <v>558</v>
      </c>
      <c r="C31" s="188">
        <v>7</v>
      </c>
      <c r="D31" s="188">
        <v>1</v>
      </c>
      <c r="E31" s="188">
        <v>5890</v>
      </c>
      <c r="F31" s="188">
        <v>29</v>
      </c>
      <c r="G31" s="188">
        <v>9</v>
      </c>
      <c r="H31" s="188">
        <v>6448</v>
      </c>
      <c r="I31" s="188">
        <v>36</v>
      </c>
      <c r="J31" s="188">
        <v>10</v>
      </c>
      <c r="K31" s="188">
        <v>1407</v>
      </c>
      <c r="L31" s="188">
        <v>10575</v>
      </c>
      <c r="M31" s="188">
        <v>11982</v>
      </c>
      <c r="N31" s="188">
        <v>16</v>
      </c>
      <c r="O31" s="188">
        <v>7</v>
      </c>
      <c r="P31" s="188">
        <v>77</v>
      </c>
      <c r="Q31" s="188">
        <v>30</v>
      </c>
      <c r="R31" s="188">
        <v>93</v>
      </c>
      <c r="S31" s="188">
        <v>37</v>
      </c>
      <c r="T31" s="188">
        <v>1</v>
      </c>
      <c r="U31" s="188">
        <v>11</v>
      </c>
      <c r="V31" s="188">
        <v>12</v>
      </c>
      <c r="W31" s="189" t="s">
        <v>125</v>
      </c>
      <c r="X31" s="189" t="s">
        <v>125</v>
      </c>
      <c r="Y31" s="189" t="s">
        <v>125</v>
      </c>
      <c r="Z31" s="188">
        <v>6799</v>
      </c>
      <c r="AA31" s="188">
        <v>6799</v>
      </c>
      <c r="AB31" s="188">
        <v>0</v>
      </c>
      <c r="AC31" s="188">
        <v>1692319</v>
      </c>
      <c r="AD31" s="188">
        <v>5899</v>
      </c>
      <c r="AE31" s="190">
        <v>1698218</v>
      </c>
      <c r="AY31" s="192"/>
      <c r="AZ31" s="192"/>
    </row>
    <row r="32" spans="1:52" s="191" customFormat="1" ht="15" customHeight="1">
      <c r="A32" s="187" t="s">
        <v>148</v>
      </c>
      <c r="B32" s="188">
        <v>3578</v>
      </c>
      <c r="C32" s="188">
        <v>21</v>
      </c>
      <c r="D32" s="188">
        <v>0</v>
      </c>
      <c r="E32" s="188">
        <v>20042</v>
      </c>
      <c r="F32" s="188">
        <v>79</v>
      </c>
      <c r="G32" s="188">
        <v>11</v>
      </c>
      <c r="H32" s="188">
        <v>23620</v>
      </c>
      <c r="I32" s="188">
        <v>100</v>
      </c>
      <c r="J32" s="188">
        <v>11</v>
      </c>
      <c r="K32" s="188">
        <v>9519</v>
      </c>
      <c r="L32" s="188">
        <v>45007</v>
      </c>
      <c r="M32" s="188">
        <v>54526</v>
      </c>
      <c r="N32" s="188">
        <v>43</v>
      </c>
      <c r="O32" s="188">
        <v>21</v>
      </c>
      <c r="P32" s="188">
        <v>224</v>
      </c>
      <c r="Q32" s="188">
        <v>88</v>
      </c>
      <c r="R32" s="188">
        <v>267</v>
      </c>
      <c r="S32" s="188">
        <v>109</v>
      </c>
      <c r="T32" s="188">
        <v>0</v>
      </c>
      <c r="U32" s="188">
        <v>12</v>
      </c>
      <c r="V32" s="188">
        <v>12</v>
      </c>
      <c r="W32" s="189" t="s">
        <v>125</v>
      </c>
      <c r="X32" s="189" t="s">
        <v>125</v>
      </c>
      <c r="Y32" s="189" t="s">
        <v>125</v>
      </c>
      <c r="Z32" s="188">
        <v>24922</v>
      </c>
      <c r="AA32" s="188">
        <v>24922</v>
      </c>
      <c r="AB32" s="188">
        <v>0</v>
      </c>
      <c r="AC32" s="188">
        <v>7247863</v>
      </c>
      <c r="AD32" s="188">
        <v>11679</v>
      </c>
      <c r="AE32" s="190">
        <v>7259542</v>
      </c>
      <c r="AY32" s="192"/>
      <c r="AZ32" s="192"/>
    </row>
    <row r="33" spans="1:52" s="191" customFormat="1" ht="15" customHeight="1">
      <c r="A33" s="187" t="s">
        <v>149</v>
      </c>
      <c r="B33" s="188">
        <v>70</v>
      </c>
      <c r="C33" s="188">
        <v>1</v>
      </c>
      <c r="D33" s="188">
        <v>0</v>
      </c>
      <c r="E33" s="188">
        <v>460</v>
      </c>
      <c r="F33" s="188">
        <v>0</v>
      </c>
      <c r="G33" s="188">
        <v>1</v>
      </c>
      <c r="H33" s="188">
        <v>530</v>
      </c>
      <c r="I33" s="188">
        <v>1</v>
      </c>
      <c r="J33" s="188">
        <v>1</v>
      </c>
      <c r="K33" s="188">
        <v>183</v>
      </c>
      <c r="L33" s="188">
        <v>916</v>
      </c>
      <c r="M33" s="188">
        <v>1099</v>
      </c>
      <c r="N33" s="188">
        <v>1</v>
      </c>
      <c r="O33" s="188">
        <v>1</v>
      </c>
      <c r="P33" s="188">
        <v>0</v>
      </c>
      <c r="Q33" s="188">
        <v>0</v>
      </c>
      <c r="R33" s="188">
        <v>1</v>
      </c>
      <c r="S33" s="188">
        <v>1</v>
      </c>
      <c r="T33" s="188">
        <v>0</v>
      </c>
      <c r="U33" s="188">
        <v>1</v>
      </c>
      <c r="V33" s="188">
        <v>1</v>
      </c>
      <c r="W33" s="189" t="s">
        <v>125</v>
      </c>
      <c r="X33" s="189" t="s">
        <v>125</v>
      </c>
      <c r="Y33" s="189" t="s">
        <v>125</v>
      </c>
      <c r="Z33" s="188">
        <v>562</v>
      </c>
      <c r="AA33" s="188">
        <v>562</v>
      </c>
      <c r="AB33" s="188">
        <v>0</v>
      </c>
      <c r="AC33" s="188">
        <v>146006</v>
      </c>
      <c r="AD33" s="188">
        <v>325</v>
      </c>
      <c r="AE33" s="190">
        <v>146331</v>
      </c>
      <c r="AY33" s="192"/>
      <c r="AZ33" s="192"/>
    </row>
    <row r="34" spans="1:52" s="191" customFormat="1" ht="15" customHeight="1">
      <c r="A34" s="187" t="s">
        <v>150</v>
      </c>
      <c r="B34" s="188">
        <v>14</v>
      </c>
      <c r="C34" s="188">
        <v>0</v>
      </c>
      <c r="D34" s="188">
        <v>0</v>
      </c>
      <c r="E34" s="188">
        <v>434</v>
      </c>
      <c r="F34" s="188">
        <v>4</v>
      </c>
      <c r="G34" s="188">
        <v>0</v>
      </c>
      <c r="H34" s="188">
        <v>448</v>
      </c>
      <c r="I34" s="188">
        <v>4</v>
      </c>
      <c r="J34" s="188">
        <v>0</v>
      </c>
      <c r="K34" s="188">
        <v>37</v>
      </c>
      <c r="L34" s="188">
        <v>724</v>
      </c>
      <c r="M34" s="188">
        <v>761</v>
      </c>
      <c r="N34" s="188">
        <v>0</v>
      </c>
      <c r="O34" s="188">
        <v>0</v>
      </c>
      <c r="P34" s="188">
        <v>14</v>
      </c>
      <c r="Q34" s="188">
        <v>4</v>
      </c>
      <c r="R34" s="188">
        <v>14</v>
      </c>
      <c r="S34" s="188">
        <v>4</v>
      </c>
      <c r="T34" s="188">
        <v>0</v>
      </c>
      <c r="U34" s="188">
        <v>0</v>
      </c>
      <c r="V34" s="188">
        <v>0</v>
      </c>
      <c r="W34" s="189" t="s">
        <v>125</v>
      </c>
      <c r="X34" s="189" t="s">
        <v>125</v>
      </c>
      <c r="Y34" s="189" t="s">
        <v>125</v>
      </c>
      <c r="Z34" s="188">
        <v>494</v>
      </c>
      <c r="AA34" s="188">
        <v>494</v>
      </c>
      <c r="AB34" s="188">
        <v>0</v>
      </c>
      <c r="AC34" s="188">
        <v>108896</v>
      </c>
      <c r="AD34" s="188">
        <v>308</v>
      </c>
      <c r="AE34" s="190">
        <v>109204</v>
      </c>
      <c r="AY34" s="192"/>
      <c r="AZ34" s="192"/>
    </row>
    <row r="35" spans="1:52" s="191" customFormat="1" ht="15" customHeight="1">
      <c r="A35" s="187" t="s">
        <v>151</v>
      </c>
      <c r="B35" s="188">
        <v>2107</v>
      </c>
      <c r="C35" s="188">
        <v>23</v>
      </c>
      <c r="D35" s="188">
        <v>0</v>
      </c>
      <c r="E35" s="188">
        <v>18133</v>
      </c>
      <c r="F35" s="188">
        <v>196</v>
      </c>
      <c r="G35" s="188">
        <v>26</v>
      </c>
      <c r="H35" s="188">
        <v>20240</v>
      </c>
      <c r="I35" s="188">
        <v>219</v>
      </c>
      <c r="J35" s="188">
        <v>26</v>
      </c>
      <c r="K35" s="188">
        <v>5426</v>
      </c>
      <c r="L35" s="188">
        <v>38606</v>
      </c>
      <c r="M35" s="188">
        <v>44032</v>
      </c>
      <c r="N35" s="188">
        <v>63</v>
      </c>
      <c r="O35" s="188">
        <v>24</v>
      </c>
      <c r="P35" s="188">
        <v>527</v>
      </c>
      <c r="Q35" s="188">
        <v>231</v>
      </c>
      <c r="R35" s="188">
        <v>590</v>
      </c>
      <c r="S35" s="188">
        <v>255</v>
      </c>
      <c r="T35" s="188">
        <v>0</v>
      </c>
      <c r="U35" s="188">
        <v>35</v>
      </c>
      <c r="V35" s="188">
        <v>35</v>
      </c>
      <c r="W35" s="189" t="s">
        <v>125</v>
      </c>
      <c r="X35" s="189" t="s">
        <v>125</v>
      </c>
      <c r="Y35" s="189" t="s">
        <v>125</v>
      </c>
      <c r="Z35" s="188">
        <v>22088</v>
      </c>
      <c r="AA35" s="188">
        <v>22088</v>
      </c>
      <c r="AB35" s="188">
        <v>0</v>
      </c>
      <c r="AC35" s="188">
        <v>5640794</v>
      </c>
      <c r="AD35" s="188">
        <v>26714</v>
      </c>
      <c r="AE35" s="190">
        <v>5667508</v>
      </c>
      <c r="AY35" s="192"/>
      <c r="AZ35" s="192"/>
    </row>
    <row r="36" spans="1:52" s="191" customFormat="1" ht="15" customHeight="1">
      <c r="A36" s="187" t="s">
        <v>152</v>
      </c>
      <c r="B36" s="188">
        <v>299</v>
      </c>
      <c r="C36" s="188">
        <v>7</v>
      </c>
      <c r="D36" s="188">
        <v>0</v>
      </c>
      <c r="E36" s="188">
        <v>3052</v>
      </c>
      <c r="F36" s="188">
        <v>46</v>
      </c>
      <c r="G36" s="188">
        <v>5</v>
      </c>
      <c r="H36" s="188">
        <v>3351</v>
      </c>
      <c r="I36" s="188">
        <v>53</v>
      </c>
      <c r="J36" s="188">
        <v>5</v>
      </c>
      <c r="K36" s="188">
        <v>750</v>
      </c>
      <c r="L36" s="188">
        <v>5977</v>
      </c>
      <c r="M36" s="188">
        <v>6727</v>
      </c>
      <c r="N36" s="188">
        <v>19</v>
      </c>
      <c r="O36" s="188">
        <v>8</v>
      </c>
      <c r="P36" s="188">
        <v>128</v>
      </c>
      <c r="Q36" s="188">
        <v>49</v>
      </c>
      <c r="R36" s="188">
        <v>147</v>
      </c>
      <c r="S36" s="188">
        <v>57</v>
      </c>
      <c r="T36" s="188">
        <v>0</v>
      </c>
      <c r="U36" s="188">
        <v>5</v>
      </c>
      <c r="V36" s="188">
        <v>5</v>
      </c>
      <c r="W36" s="189" t="s">
        <v>125</v>
      </c>
      <c r="X36" s="189" t="s">
        <v>125</v>
      </c>
      <c r="Y36" s="189" t="s">
        <v>125</v>
      </c>
      <c r="Z36" s="188">
        <v>3619</v>
      </c>
      <c r="AA36" s="188">
        <v>3619</v>
      </c>
      <c r="AB36" s="188">
        <v>0</v>
      </c>
      <c r="AC36" s="188">
        <v>847347</v>
      </c>
      <c r="AD36" s="188">
        <v>4605</v>
      </c>
      <c r="AE36" s="190">
        <v>851952</v>
      </c>
      <c r="AY36" s="192"/>
      <c r="AZ36" s="192"/>
    </row>
    <row r="37" spans="1:52" s="191" customFormat="1" ht="15" customHeight="1">
      <c r="A37" s="187" t="s">
        <v>153</v>
      </c>
      <c r="B37" s="188">
        <v>234</v>
      </c>
      <c r="C37" s="188">
        <v>0</v>
      </c>
      <c r="D37" s="188">
        <v>0</v>
      </c>
      <c r="E37" s="188">
        <v>4096</v>
      </c>
      <c r="F37" s="188">
        <v>6</v>
      </c>
      <c r="G37" s="188">
        <v>2</v>
      </c>
      <c r="H37" s="188">
        <v>4330</v>
      </c>
      <c r="I37" s="188">
        <v>6</v>
      </c>
      <c r="J37" s="188">
        <v>2</v>
      </c>
      <c r="K37" s="188">
        <v>577</v>
      </c>
      <c r="L37" s="188">
        <v>6908</v>
      </c>
      <c r="M37" s="188">
        <v>7485</v>
      </c>
      <c r="N37" s="188">
        <v>0</v>
      </c>
      <c r="O37" s="188">
        <v>0</v>
      </c>
      <c r="P37" s="188">
        <v>15</v>
      </c>
      <c r="Q37" s="188">
        <v>7</v>
      </c>
      <c r="R37" s="188">
        <v>15</v>
      </c>
      <c r="S37" s="188">
        <v>7</v>
      </c>
      <c r="T37" s="188">
        <v>0</v>
      </c>
      <c r="U37" s="188">
        <v>2</v>
      </c>
      <c r="V37" s="188">
        <v>2</v>
      </c>
      <c r="W37" s="189" t="s">
        <v>125</v>
      </c>
      <c r="X37" s="189" t="s">
        <v>125</v>
      </c>
      <c r="Y37" s="189" t="s">
        <v>125</v>
      </c>
      <c r="Z37" s="188">
        <v>4589</v>
      </c>
      <c r="AA37" s="188">
        <v>4589</v>
      </c>
      <c r="AB37" s="188">
        <v>0</v>
      </c>
      <c r="AC37" s="188">
        <v>1025391</v>
      </c>
      <c r="AD37" s="188">
        <v>764</v>
      </c>
      <c r="AE37" s="190">
        <v>1026155</v>
      </c>
      <c r="AY37" s="192"/>
      <c r="AZ37" s="192"/>
    </row>
    <row r="38" spans="1:52" s="191" customFormat="1" ht="15" customHeight="1">
      <c r="A38" s="187" t="s">
        <v>154</v>
      </c>
      <c r="B38" s="188">
        <v>10323</v>
      </c>
      <c r="C38" s="188">
        <v>198</v>
      </c>
      <c r="D38" s="188">
        <v>4</v>
      </c>
      <c r="E38" s="188">
        <v>108046</v>
      </c>
      <c r="F38" s="188">
        <v>2073</v>
      </c>
      <c r="G38" s="188">
        <v>1113</v>
      </c>
      <c r="H38" s="188">
        <v>118369</v>
      </c>
      <c r="I38" s="188">
        <v>2271</v>
      </c>
      <c r="J38" s="188">
        <v>1117</v>
      </c>
      <c r="K38" s="188">
        <v>26362</v>
      </c>
      <c r="L38" s="188">
        <v>214089</v>
      </c>
      <c r="M38" s="188">
        <v>240451</v>
      </c>
      <c r="N38" s="188">
        <v>431</v>
      </c>
      <c r="O38" s="188">
        <v>284</v>
      </c>
      <c r="P38" s="188">
        <v>4503</v>
      </c>
      <c r="Q38" s="188">
        <v>2569</v>
      </c>
      <c r="R38" s="188">
        <v>4934</v>
      </c>
      <c r="S38" s="188">
        <v>2853</v>
      </c>
      <c r="T38" s="188">
        <v>7</v>
      </c>
      <c r="U38" s="188">
        <v>1502</v>
      </c>
      <c r="V38" s="188">
        <v>1509</v>
      </c>
      <c r="W38" s="189" t="s">
        <v>125</v>
      </c>
      <c r="X38" s="189" t="s">
        <v>125</v>
      </c>
      <c r="Y38" s="189" t="s">
        <v>125</v>
      </c>
      <c r="Z38" s="188">
        <v>126804</v>
      </c>
      <c r="AA38" s="188">
        <v>126804</v>
      </c>
      <c r="AB38" s="188">
        <v>0</v>
      </c>
      <c r="AC38" s="188">
        <v>32983606</v>
      </c>
      <c r="AD38" s="188">
        <v>498889</v>
      </c>
      <c r="AE38" s="190">
        <v>33482495</v>
      </c>
      <c r="AY38" s="192"/>
      <c r="AZ38" s="192"/>
    </row>
    <row r="39" spans="1:52" s="191" customFormat="1" ht="15" customHeight="1">
      <c r="A39" s="187" t="s">
        <v>155</v>
      </c>
      <c r="B39" s="188">
        <v>673</v>
      </c>
      <c r="C39" s="188">
        <v>9</v>
      </c>
      <c r="D39" s="188">
        <v>2</v>
      </c>
      <c r="E39" s="188">
        <v>8357</v>
      </c>
      <c r="F39" s="188">
        <v>44</v>
      </c>
      <c r="G39" s="188">
        <v>35</v>
      </c>
      <c r="H39" s="188">
        <v>9030</v>
      </c>
      <c r="I39" s="188">
        <v>53</v>
      </c>
      <c r="J39" s="188">
        <v>37</v>
      </c>
      <c r="K39" s="188">
        <v>1696</v>
      </c>
      <c r="L39" s="188">
        <v>15326</v>
      </c>
      <c r="M39" s="188">
        <v>17022</v>
      </c>
      <c r="N39" s="188">
        <v>19</v>
      </c>
      <c r="O39" s="188">
        <v>13</v>
      </c>
      <c r="P39" s="188">
        <v>103</v>
      </c>
      <c r="Q39" s="188">
        <v>51</v>
      </c>
      <c r="R39" s="188">
        <v>122</v>
      </c>
      <c r="S39" s="188">
        <v>64</v>
      </c>
      <c r="T39" s="188">
        <v>7</v>
      </c>
      <c r="U39" s="188">
        <v>54</v>
      </c>
      <c r="V39" s="188">
        <v>61</v>
      </c>
      <c r="W39" s="189" t="s">
        <v>125</v>
      </c>
      <c r="X39" s="189" t="s">
        <v>125</v>
      </c>
      <c r="Y39" s="189" t="s">
        <v>125</v>
      </c>
      <c r="Z39" s="188">
        <v>9483</v>
      </c>
      <c r="AA39" s="188">
        <v>9483</v>
      </c>
      <c r="AB39" s="188">
        <v>0</v>
      </c>
      <c r="AC39" s="188">
        <v>2201922</v>
      </c>
      <c r="AD39" s="188">
        <v>14486</v>
      </c>
      <c r="AE39" s="190">
        <v>2216408</v>
      </c>
      <c r="AY39" s="192"/>
      <c r="AZ39" s="192"/>
    </row>
    <row r="40" spans="1:52" s="191" customFormat="1" ht="15" customHeight="1">
      <c r="A40" s="187" t="s">
        <v>156</v>
      </c>
      <c r="B40" s="188">
        <v>83</v>
      </c>
      <c r="C40" s="188">
        <v>0</v>
      </c>
      <c r="D40" s="188">
        <v>0</v>
      </c>
      <c r="E40" s="188">
        <v>1052</v>
      </c>
      <c r="F40" s="188">
        <v>2</v>
      </c>
      <c r="G40" s="188">
        <v>0</v>
      </c>
      <c r="H40" s="188">
        <v>1135</v>
      </c>
      <c r="I40" s="188">
        <v>2</v>
      </c>
      <c r="J40" s="188">
        <v>0</v>
      </c>
      <c r="K40" s="188">
        <v>195</v>
      </c>
      <c r="L40" s="188">
        <v>1884</v>
      </c>
      <c r="M40" s="188">
        <v>2079</v>
      </c>
      <c r="N40" s="188">
        <v>0</v>
      </c>
      <c r="O40" s="188">
        <v>0</v>
      </c>
      <c r="P40" s="188">
        <v>5</v>
      </c>
      <c r="Q40" s="188">
        <v>0</v>
      </c>
      <c r="R40" s="188">
        <v>5</v>
      </c>
      <c r="S40" s="188">
        <v>0</v>
      </c>
      <c r="T40" s="188">
        <v>0</v>
      </c>
      <c r="U40" s="188">
        <v>0</v>
      </c>
      <c r="V40" s="188">
        <v>0</v>
      </c>
      <c r="W40" s="189" t="s">
        <v>125</v>
      </c>
      <c r="X40" s="189" t="s">
        <v>125</v>
      </c>
      <c r="Y40" s="189" t="s">
        <v>125</v>
      </c>
      <c r="Z40" s="188">
        <v>1182</v>
      </c>
      <c r="AA40" s="188">
        <v>1182</v>
      </c>
      <c r="AB40" s="188">
        <v>0</v>
      </c>
      <c r="AC40" s="188">
        <v>275198</v>
      </c>
      <c r="AD40" s="188">
        <v>6</v>
      </c>
      <c r="AE40" s="190">
        <v>275204</v>
      </c>
      <c r="AY40" s="192"/>
      <c r="AZ40" s="192"/>
    </row>
    <row r="41" spans="1:52" s="191" customFormat="1" ht="15" customHeight="1">
      <c r="A41" s="187" t="s">
        <v>157</v>
      </c>
      <c r="B41" s="188">
        <v>15064</v>
      </c>
      <c r="C41" s="188">
        <v>109</v>
      </c>
      <c r="D41" s="188">
        <v>12</v>
      </c>
      <c r="E41" s="188">
        <v>111738</v>
      </c>
      <c r="F41" s="188">
        <v>848</v>
      </c>
      <c r="G41" s="188">
        <v>182</v>
      </c>
      <c r="H41" s="188">
        <v>126802</v>
      </c>
      <c r="I41" s="188">
        <v>957</v>
      </c>
      <c r="J41" s="188">
        <v>194</v>
      </c>
      <c r="K41" s="188">
        <v>40589</v>
      </c>
      <c r="L41" s="188">
        <v>239927</v>
      </c>
      <c r="M41" s="188">
        <v>280516</v>
      </c>
      <c r="N41" s="188">
        <v>278</v>
      </c>
      <c r="O41" s="188">
        <v>134</v>
      </c>
      <c r="P41" s="188">
        <v>2362</v>
      </c>
      <c r="Q41" s="188">
        <v>936</v>
      </c>
      <c r="R41" s="188">
        <v>2640</v>
      </c>
      <c r="S41" s="188">
        <v>1070</v>
      </c>
      <c r="T41" s="188">
        <v>15</v>
      </c>
      <c r="U41" s="188">
        <v>227</v>
      </c>
      <c r="V41" s="188">
        <v>242</v>
      </c>
      <c r="W41" s="189" t="s">
        <v>125</v>
      </c>
      <c r="X41" s="189" t="s">
        <v>125</v>
      </c>
      <c r="Y41" s="189" t="s">
        <v>125</v>
      </c>
      <c r="Z41" s="188">
        <v>133572</v>
      </c>
      <c r="AA41" s="188">
        <v>133572</v>
      </c>
      <c r="AB41" s="188">
        <v>0</v>
      </c>
      <c r="AC41" s="188">
        <v>37724953</v>
      </c>
      <c r="AD41" s="188">
        <v>130119</v>
      </c>
      <c r="AE41" s="190">
        <v>37855072</v>
      </c>
      <c r="AY41" s="192"/>
      <c r="AZ41" s="192"/>
    </row>
    <row r="42" spans="1:52" s="191" customFormat="1" ht="15" customHeight="1">
      <c r="A42" s="187" t="s">
        <v>158</v>
      </c>
      <c r="B42" s="188">
        <v>13863</v>
      </c>
      <c r="C42" s="188">
        <v>574</v>
      </c>
      <c r="D42" s="188">
        <v>9</v>
      </c>
      <c r="E42" s="188">
        <v>84133</v>
      </c>
      <c r="F42" s="188">
        <v>1076</v>
      </c>
      <c r="G42" s="188">
        <v>574</v>
      </c>
      <c r="H42" s="188">
        <v>97996</v>
      </c>
      <c r="I42" s="188">
        <v>1650</v>
      </c>
      <c r="J42" s="188">
        <v>583</v>
      </c>
      <c r="K42" s="188">
        <v>35588</v>
      </c>
      <c r="L42" s="188">
        <v>168072</v>
      </c>
      <c r="M42" s="188">
        <v>203660</v>
      </c>
      <c r="N42" s="188">
        <v>1318</v>
      </c>
      <c r="O42" s="188">
        <v>935</v>
      </c>
      <c r="P42" s="188">
        <v>2486</v>
      </c>
      <c r="Q42" s="188">
        <v>1549</v>
      </c>
      <c r="R42" s="188">
        <v>3804</v>
      </c>
      <c r="S42" s="188">
        <v>2484</v>
      </c>
      <c r="T42" s="188">
        <v>18</v>
      </c>
      <c r="U42" s="188">
        <v>774</v>
      </c>
      <c r="V42" s="188">
        <v>792</v>
      </c>
      <c r="W42" s="189" t="s">
        <v>125</v>
      </c>
      <c r="X42" s="189" t="s">
        <v>125</v>
      </c>
      <c r="Y42" s="189" t="s">
        <v>125</v>
      </c>
      <c r="Z42" s="188">
        <v>115199</v>
      </c>
      <c r="AA42" s="188">
        <v>115199</v>
      </c>
      <c r="AB42" s="188">
        <v>0</v>
      </c>
      <c r="AC42" s="188">
        <v>29520996</v>
      </c>
      <c r="AD42" s="188">
        <v>394890</v>
      </c>
      <c r="AE42" s="190">
        <v>29915886</v>
      </c>
      <c r="AY42" s="192"/>
      <c r="AZ42" s="192"/>
    </row>
    <row r="43" spans="1:52" s="191" customFormat="1" ht="15" customHeight="1">
      <c r="A43" s="187" t="s">
        <v>159</v>
      </c>
      <c r="B43" s="188">
        <v>244</v>
      </c>
      <c r="C43" s="188">
        <v>2</v>
      </c>
      <c r="D43" s="188">
        <v>0</v>
      </c>
      <c r="E43" s="188">
        <v>2096</v>
      </c>
      <c r="F43" s="188">
        <v>21</v>
      </c>
      <c r="G43" s="188">
        <v>0</v>
      </c>
      <c r="H43" s="188">
        <v>2340</v>
      </c>
      <c r="I43" s="188">
        <v>23</v>
      </c>
      <c r="J43" s="188">
        <v>0</v>
      </c>
      <c r="K43" s="188">
        <v>650</v>
      </c>
      <c r="L43" s="188">
        <v>4509</v>
      </c>
      <c r="M43" s="188">
        <v>5159</v>
      </c>
      <c r="N43" s="188">
        <v>3</v>
      </c>
      <c r="O43" s="188">
        <v>2</v>
      </c>
      <c r="P43" s="188">
        <v>59</v>
      </c>
      <c r="Q43" s="188">
        <v>24</v>
      </c>
      <c r="R43" s="188">
        <v>62</v>
      </c>
      <c r="S43" s="188">
        <v>26</v>
      </c>
      <c r="T43" s="188">
        <v>0</v>
      </c>
      <c r="U43" s="188">
        <v>0</v>
      </c>
      <c r="V43" s="188">
        <v>0</v>
      </c>
      <c r="W43" s="189" t="s">
        <v>125</v>
      </c>
      <c r="X43" s="189" t="s">
        <v>125</v>
      </c>
      <c r="Y43" s="189" t="s">
        <v>125</v>
      </c>
      <c r="Z43" s="188">
        <v>2504</v>
      </c>
      <c r="AA43" s="188">
        <v>2504</v>
      </c>
      <c r="AB43" s="188">
        <v>0</v>
      </c>
      <c r="AC43" s="188">
        <v>671249</v>
      </c>
      <c r="AD43" s="188">
        <v>2379</v>
      </c>
      <c r="AE43" s="190">
        <v>673628</v>
      </c>
      <c r="AY43" s="192"/>
      <c r="AZ43" s="192"/>
    </row>
    <row r="44" spans="1:52" s="191" customFormat="1" ht="15" customHeight="1">
      <c r="A44" s="187" t="s">
        <v>160</v>
      </c>
      <c r="B44" s="188">
        <v>24118</v>
      </c>
      <c r="C44" s="188">
        <v>161</v>
      </c>
      <c r="D44" s="188">
        <v>7</v>
      </c>
      <c r="E44" s="188">
        <v>149305</v>
      </c>
      <c r="F44" s="188">
        <v>941</v>
      </c>
      <c r="G44" s="188">
        <v>368</v>
      </c>
      <c r="H44" s="188">
        <v>173423</v>
      </c>
      <c r="I44" s="188">
        <v>1102</v>
      </c>
      <c r="J44" s="188">
        <v>375</v>
      </c>
      <c r="K44" s="188">
        <v>63884</v>
      </c>
      <c r="L44" s="188">
        <v>314153</v>
      </c>
      <c r="M44" s="188">
        <v>378037</v>
      </c>
      <c r="N44" s="188">
        <v>399</v>
      </c>
      <c r="O44" s="188">
        <v>183</v>
      </c>
      <c r="P44" s="188">
        <v>2455</v>
      </c>
      <c r="Q44" s="188">
        <v>1115</v>
      </c>
      <c r="R44" s="188">
        <v>2854</v>
      </c>
      <c r="S44" s="188">
        <v>1298</v>
      </c>
      <c r="T44" s="188">
        <v>8</v>
      </c>
      <c r="U44" s="188">
        <v>469</v>
      </c>
      <c r="V44" s="188">
        <v>477</v>
      </c>
      <c r="W44" s="189" t="s">
        <v>125</v>
      </c>
      <c r="X44" s="189" t="s">
        <v>125</v>
      </c>
      <c r="Y44" s="189" t="s">
        <v>125</v>
      </c>
      <c r="Z44" s="188">
        <v>181806</v>
      </c>
      <c r="AA44" s="188">
        <v>181806</v>
      </c>
      <c r="AB44" s="188">
        <v>0</v>
      </c>
      <c r="AC44" s="188">
        <v>51894234</v>
      </c>
      <c r="AD44" s="188">
        <v>194758</v>
      </c>
      <c r="AE44" s="190">
        <v>52088992</v>
      </c>
      <c r="AY44" s="192"/>
      <c r="AZ44" s="192"/>
    </row>
    <row r="45" spans="1:52" s="191" customFormat="1" ht="15" customHeight="1">
      <c r="A45" s="187" t="s">
        <v>161</v>
      </c>
      <c r="B45" s="188">
        <v>12590</v>
      </c>
      <c r="C45" s="188">
        <v>291</v>
      </c>
      <c r="D45" s="188">
        <v>6</v>
      </c>
      <c r="E45" s="188">
        <v>124221</v>
      </c>
      <c r="F45" s="188">
        <v>1772</v>
      </c>
      <c r="G45" s="188">
        <v>752</v>
      </c>
      <c r="H45" s="188">
        <v>136811</v>
      </c>
      <c r="I45" s="188">
        <v>2063</v>
      </c>
      <c r="J45" s="188">
        <v>758</v>
      </c>
      <c r="K45" s="188">
        <v>34405</v>
      </c>
      <c r="L45" s="188">
        <v>240257</v>
      </c>
      <c r="M45" s="188">
        <v>274662</v>
      </c>
      <c r="N45" s="188">
        <v>616</v>
      </c>
      <c r="O45" s="188">
        <v>382</v>
      </c>
      <c r="P45" s="188">
        <v>4166</v>
      </c>
      <c r="Q45" s="188">
        <v>2064</v>
      </c>
      <c r="R45" s="188">
        <v>4782</v>
      </c>
      <c r="S45" s="188">
        <v>2446</v>
      </c>
      <c r="T45" s="188">
        <v>15</v>
      </c>
      <c r="U45" s="188">
        <v>940</v>
      </c>
      <c r="V45" s="188">
        <v>955</v>
      </c>
      <c r="W45" s="189" t="s">
        <v>125</v>
      </c>
      <c r="X45" s="189" t="s">
        <v>125</v>
      </c>
      <c r="Y45" s="189" t="s">
        <v>125</v>
      </c>
      <c r="Z45" s="188">
        <v>164004</v>
      </c>
      <c r="AA45" s="188">
        <v>164004</v>
      </c>
      <c r="AB45" s="188">
        <v>0</v>
      </c>
      <c r="AC45" s="188">
        <v>37366958</v>
      </c>
      <c r="AD45" s="188">
        <v>373476</v>
      </c>
      <c r="AE45" s="190">
        <v>37740434</v>
      </c>
      <c r="AY45" s="192"/>
      <c r="AZ45" s="192"/>
    </row>
    <row r="46" spans="1:52" s="191" customFormat="1" ht="15" customHeight="1">
      <c r="A46" s="187" t="s">
        <v>162</v>
      </c>
      <c r="B46" s="188">
        <v>2018</v>
      </c>
      <c r="C46" s="188">
        <v>136</v>
      </c>
      <c r="D46" s="188">
        <v>8</v>
      </c>
      <c r="E46" s="188">
        <v>30411</v>
      </c>
      <c r="F46" s="188">
        <v>810</v>
      </c>
      <c r="G46" s="188">
        <v>1233</v>
      </c>
      <c r="H46" s="188">
        <v>32429</v>
      </c>
      <c r="I46" s="188">
        <v>946</v>
      </c>
      <c r="J46" s="188">
        <v>1241</v>
      </c>
      <c r="K46" s="188">
        <v>4407</v>
      </c>
      <c r="L46" s="188">
        <v>44054</v>
      </c>
      <c r="M46" s="188">
        <v>48461</v>
      </c>
      <c r="N46" s="188">
        <v>250</v>
      </c>
      <c r="O46" s="188">
        <v>163</v>
      </c>
      <c r="P46" s="188">
        <v>1512</v>
      </c>
      <c r="Q46" s="188">
        <v>1027</v>
      </c>
      <c r="R46" s="188">
        <v>1762</v>
      </c>
      <c r="S46" s="188">
        <v>1190</v>
      </c>
      <c r="T46" s="188">
        <v>15</v>
      </c>
      <c r="U46" s="188">
        <v>1280</v>
      </c>
      <c r="V46" s="188">
        <v>1295</v>
      </c>
      <c r="W46" s="189" t="s">
        <v>125</v>
      </c>
      <c r="X46" s="189" t="s">
        <v>125</v>
      </c>
      <c r="Y46" s="189" t="s">
        <v>125</v>
      </c>
      <c r="Z46" s="188">
        <v>37826</v>
      </c>
      <c r="AA46" s="188">
        <v>37826</v>
      </c>
      <c r="AB46" s="188">
        <v>0</v>
      </c>
      <c r="AC46" s="188">
        <v>7253177</v>
      </c>
      <c r="AD46" s="188">
        <v>317377</v>
      </c>
      <c r="AE46" s="190">
        <v>7570554</v>
      </c>
      <c r="AY46" s="192"/>
      <c r="AZ46" s="192"/>
    </row>
    <row r="47" spans="1:52" s="191" customFormat="1" ht="15" customHeight="1">
      <c r="A47" s="187" t="s">
        <v>163</v>
      </c>
      <c r="B47" s="188">
        <v>6866</v>
      </c>
      <c r="C47" s="188">
        <v>59</v>
      </c>
      <c r="D47" s="188">
        <v>1</v>
      </c>
      <c r="E47" s="188">
        <v>42649</v>
      </c>
      <c r="F47" s="188">
        <v>459</v>
      </c>
      <c r="G47" s="188">
        <v>159</v>
      </c>
      <c r="H47" s="188">
        <v>49515</v>
      </c>
      <c r="I47" s="188">
        <v>518</v>
      </c>
      <c r="J47" s="188">
        <v>160</v>
      </c>
      <c r="K47" s="188">
        <v>17019</v>
      </c>
      <c r="L47" s="188">
        <v>93217</v>
      </c>
      <c r="M47" s="188">
        <v>110236</v>
      </c>
      <c r="N47" s="188">
        <v>155</v>
      </c>
      <c r="O47" s="188">
        <v>73</v>
      </c>
      <c r="P47" s="188">
        <v>1278</v>
      </c>
      <c r="Q47" s="188">
        <v>570</v>
      </c>
      <c r="R47" s="188">
        <v>1433</v>
      </c>
      <c r="S47" s="188">
        <v>643</v>
      </c>
      <c r="T47" s="188">
        <v>1</v>
      </c>
      <c r="U47" s="188">
        <v>224</v>
      </c>
      <c r="V47" s="188">
        <v>225</v>
      </c>
      <c r="W47" s="189" t="s">
        <v>125</v>
      </c>
      <c r="X47" s="189" t="s">
        <v>125</v>
      </c>
      <c r="Y47" s="189" t="s">
        <v>125</v>
      </c>
      <c r="Z47" s="188">
        <v>52431</v>
      </c>
      <c r="AA47" s="188">
        <v>52431</v>
      </c>
      <c r="AB47" s="188">
        <v>0</v>
      </c>
      <c r="AC47" s="188">
        <v>14945729</v>
      </c>
      <c r="AD47" s="188">
        <v>94746</v>
      </c>
      <c r="AE47" s="190">
        <v>15040475</v>
      </c>
      <c r="AY47" s="192"/>
      <c r="AZ47" s="192"/>
    </row>
    <row r="48" spans="1:52" s="191" customFormat="1" ht="15" customHeight="1">
      <c r="A48" s="187" t="s">
        <v>164</v>
      </c>
      <c r="B48" s="188">
        <v>835</v>
      </c>
      <c r="C48" s="188">
        <v>6</v>
      </c>
      <c r="D48" s="188">
        <v>0</v>
      </c>
      <c r="E48" s="188">
        <v>8791</v>
      </c>
      <c r="F48" s="188">
        <v>41</v>
      </c>
      <c r="G48" s="188">
        <v>8</v>
      </c>
      <c r="H48" s="188">
        <v>9626</v>
      </c>
      <c r="I48" s="188">
        <v>47</v>
      </c>
      <c r="J48" s="188">
        <v>8</v>
      </c>
      <c r="K48" s="188">
        <v>2062</v>
      </c>
      <c r="L48" s="188">
        <v>15298</v>
      </c>
      <c r="M48" s="188">
        <v>17360</v>
      </c>
      <c r="N48" s="188">
        <v>17</v>
      </c>
      <c r="O48" s="188">
        <v>8</v>
      </c>
      <c r="P48" s="188">
        <v>106</v>
      </c>
      <c r="Q48" s="188">
        <v>49</v>
      </c>
      <c r="R48" s="188">
        <v>123</v>
      </c>
      <c r="S48" s="188">
        <v>57</v>
      </c>
      <c r="T48" s="188">
        <v>0</v>
      </c>
      <c r="U48" s="188">
        <v>9</v>
      </c>
      <c r="V48" s="188">
        <v>9</v>
      </c>
      <c r="W48" s="189" t="s">
        <v>125</v>
      </c>
      <c r="X48" s="189" t="s">
        <v>125</v>
      </c>
      <c r="Y48" s="189" t="s">
        <v>125</v>
      </c>
      <c r="Z48" s="188">
        <v>10016</v>
      </c>
      <c r="AA48" s="188">
        <v>10016</v>
      </c>
      <c r="AB48" s="188">
        <v>0</v>
      </c>
      <c r="AC48" s="188">
        <v>2332622</v>
      </c>
      <c r="AD48" s="188">
        <v>5068</v>
      </c>
      <c r="AE48" s="190">
        <v>2337690</v>
      </c>
      <c r="AY48" s="192"/>
      <c r="AZ48" s="192"/>
    </row>
    <row r="49" spans="1:52" s="191" customFormat="1" ht="15" customHeight="1">
      <c r="A49" s="187" t="s">
        <v>165</v>
      </c>
      <c r="B49" s="188">
        <v>781</v>
      </c>
      <c r="C49" s="188">
        <v>27</v>
      </c>
      <c r="D49" s="188">
        <v>1</v>
      </c>
      <c r="E49" s="188">
        <v>13153</v>
      </c>
      <c r="F49" s="188">
        <v>415</v>
      </c>
      <c r="G49" s="188">
        <v>157</v>
      </c>
      <c r="H49" s="188">
        <v>13934</v>
      </c>
      <c r="I49" s="188">
        <v>442</v>
      </c>
      <c r="J49" s="188">
        <v>158</v>
      </c>
      <c r="K49" s="188">
        <v>1860</v>
      </c>
      <c r="L49" s="188">
        <v>24583</v>
      </c>
      <c r="M49" s="188">
        <v>26443</v>
      </c>
      <c r="N49" s="188">
        <v>68</v>
      </c>
      <c r="O49" s="188">
        <v>30</v>
      </c>
      <c r="P49" s="188">
        <v>1002</v>
      </c>
      <c r="Q49" s="188">
        <v>513</v>
      </c>
      <c r="R49" s="188">
        <v>1070</v>
      </c>
      <c r="S49" s="188">
        <v>543</v>
      </c>
      <c r="T49" s="188">
        <v>1</v>
      </c>
      <c r="U49" s="188">
        <v>203</v>
      </c>
      <c r="V49" s="188">
        <v>204</v>
      </c>
      <c r="W49" s="189" t="s">
        <v>125</v>
      </c>
      <c r="X49" s="189" t="s">
        <v>125</v>
      </c>
      <c r="Y49" s="189" t="s">
        <v>125</v>
      </c>
      <c r="Z49" s="188">
        <v>16924</v>
      </c>
      <c r="AA49" s="188">
        <v>16924</v>
      </c>
      <c r="AB49" s="188">
        <v>0</v>
      </c>
      <c r="AC49" s="188">
        <v>3623473</v>
      </c>
      <c r="AD49" s="188">
        <v>71662</v>
      </c>
      <c r="AE49" s="190">
        <v>3695135</v>
      </c>
      <c r="AY49" s="192"/>
      <c r="AZ49" s="192"/>
    </row>
    <row r="50" spans="1:52" s="191" customFormat="1" ht="15" customHeight="1">
      <c r="A50" s="187" t="s">
        <v>166</v>
      </c>
      <c r="B50" s="188">
        <v>1983</v>
      </c>
      <c r="C50" s="188">
        <v>21</v>
      </c>
      <c r="D50" s="188">
        <v>0</v>
      </c>
      <c r="E50" s="188">
        <v>15873</v>
      </c>
      <c r="F50" s="188">
        <v>130</v>
      </c>
      <c r="G50" s="188">
        <v>66</v>
      </c>
      <c r="H50" s="188">
        <v>17856</v>
      </c>
      <c r="I50" s="188">
        <v>151</v>
      </c>
      <c r="J50" s="188">
        <v>66</v>
      </c>
      <c r="K50" s="188">
        <v>5153</v>
      </c>
      <c r="L50" s="188">
        <v>31513</v>
      </c>
      <c r="M50" s="188">
        <v>36666</v>
      </c>
      <c r="N50" s="188">
        <v>45</v>
      </c>
      <c r="O50" s="188">
        <v>20</v>
      </c>
      <c r="P50" s="188">
        <v>324</v>
      </c>
      <c r="Q50" s="188">
        <v>131</v>
      </c>
      <c r="R50" s="188">
        <v>369</v>
      </c>
      <c r="S50" s="188">
        <v>151</v>
      </c>
      <c r="T50" s="188">
        <v>0</v>
      </c>
      <c r="U50" s="188">
        <v>82</v>
      </c>
      <c r="V50" s="188">
        <v>82</v>
      </c>
      <c r="W50" s="189" t="s">
        <v>125</v>
      </c>
      <c r="X50" s="189" t="s">
        <v>125</v>
      </c>
      <c r="Y50" s="189" t="s">
        <v>125</v>
      </c>
      <c r="Z50" s="188">
        <v>21629</v>
      </c>
      <c r="AA50" s="188">
        <v>21629</v>
      </c>
      <c r="AB50" s="188">
        <v>0</v>
      </c>
      <c r="AC50" s="188">
        <v>4872088</v>
      </c>
      <c r="AD50" s="188">
        <v>28514</v>
      </c>
      <c r="AE50" s="190">
        <v>4900602</v>
      </c>
      <c r="AY50" s="192"/>
      <c r="AZ50" s="192"/>
    </row>
    <row r="51" spans="1:52" s="191" customFormat="1" ht="15" customHeight="1">
      <c r="A51" s="187" t="s">
        <v>167</v>
      </c>
      <c r="B51" s="188">
        <v>4163</v>
      </c>
      <c r="C51" s="188">
        <v>103</v>
      </c>
      <c r="D51" s="188">
        <v>1</v>
      </c>
      <c r="E51" s="188">
        <v>45208</v>
      </c>
      <c r="F51" s="188">
        <v>837</v>
      </c>
      <c r="G51" s="188">
        <v>650</v>
      </c>
      <c r="H51" s="188">
        <v>49371</v>
      </c>
      <c r="I51" s="188">
        <v>940</v>
      </c>
      <c r="J51" s="188">
        <v>651</v>
      </c>
      <c r="K51" s="188">
        <v>10082</v>
      </c>
      <c r="L51" s="188">
        <v>85903</v>
      </c>
      <c r="M51" s="188">
        <v>95985</v>
      </c>
      <c r="N51" s="188">
        <v>211</v>
      </c>
      <c r="O51" s="188">
        <v>127</v>
      </c>
      <c r="P51" s="188">
        <v>1791</v>
      </c>
      <c r="Q51" s="188">
        <v>1086</v>
      </c>
      <c r="R51" s="188">
        <v>2002</v>
      </c>
      <c r="S51" s="188">
        <v>1213</v>
      </c>
      <c r="T51" s="188">
        <v>1</v>
      </c>
      <c r="U51" s="188">
        <v>948</v>
      </c>
      <c r="V51" s="188">
        <v>949</v>
      </c>
      <c r="W51" s="189" t="s">
        <v>125</v>
      </c>
      <c r="X51" s="189" t="s">
        <v>125</v>
      </c>
      <c r="Y51" s="189" t="s">
        <v>125</v>
      </c>
      <c r="Z51" s="188">
        <v>52956</v>
      </c>
      <c r="AA51" s="188">
        <v>52956</v>
      </c>
      <c r="AB51" s="188">
        <v>0</v>
      </c>
      <c r="AC51" s="188">
        <v>13271799</v>
      </c>
      <c r="AD51" s="188">
        <v>248723</v>
      </c>
      <c r="AE51" s="190">
        <v>13520522</v>
      </c>
      <c r="AY51" s="192"/>
      <c r="AZ51" s="192"/>
    </row>
    <row r="52" spans="1:52" s="191" customFormat="1" ht="15" customHeight="1">
      <c r="A52" s="187" t="s">
        <v>168</v>
      </c>
      <c r="B52" s="188">
        <v>1021</v>
      </c>
      <c r="C52" s="188">
        <v>4</v>
      </c>
      <c r="D52" s="188">
        <v>0</v>
      </c>
      <c r="E52" s="188">
        <v>13191</v>
      </c>
      <c r="F52" s="188">
        <v>40</v>
      </c>
      <c r="G52" s="188">
        <v>11</v>
      </c>
      <c r="H52" s="188">
        <v>14212</v>
      </c>
      <c r="I52" s="188">
        <v>44</v>
      </c>
      <c r="J52" s="188">
        <v>11</v>
      </c>
      <c r="K52" s="188">
        <v>2569</v>
      </c>
      <c r="L52" s="188">
        <v>23140</v>
      </c>
      <c r="M52" s="188">
        <v>25709</v>
      </c>
      <c r="N52" s="188">
        <v>10</v>
      </c>
      <c r="O52" s="188">
        <v>0</v>
      </c>
      <c r="P52" s="188">
        <v>84</v>
      </c>
      <c r="Q52" s="188">
        <v>47</v>
      </c>
      <c r="R52" s="188">
        <v>94</v>
      </c>
      <c r="S52" s="188">
        <v>47</v>
      </c>
      <c r="T52" s="188">
        <v>0</v>
      </c>
      <c r="U52" s="188">
        <v>16</v>
      </c>
      <c r="V52" s="188">
        <v>16</v>
      </c>
      <c r="W52" s="189" t="s">
        <v>125</v>
      </c>
      <c r="X52" s="189" t="s">
        <v>125</v>
      </c>
      <c r="Y52" s="189" t="s">
        <v>125</v>
      </c>
      <c r="Z52" s="188">
        <v>16705</v>
      </c>
      <c r="AA52" s="188">
        <v>16705</v>
      </c>
      <c r="AB52" s="188">
        <v>0</v>
      </c>
      <c r="AC52" s="188">
        <v>3486424</v>
      </c>
      <c r="AD52" s="188">
        <v>6683</v>
      </c>
      <c r="AE52" s="190">
        <v>3493107</v>
      </c>
      <c r="AY52" s="192"/>
      <c r="AZ52" s="192"/>
    </row>
    <row r="53" spans="1:52" s="191" customFormat="1" ht="15" customHeight="1">
      <c r="A53" s="187" t="s">
        <v>169</v>
      </c>
      <c r="B53" s="188">
        <v>1265</v>
      </c>
      <c r="C53" s="188">
        <v>2</v>
      </c>
      <c r="D53" s="188">
        <v>0</v>
      </c>
      <c r="E53" s="188">
        <v>11512</v>
      </c>
      <c r="F53" s="188">
        <v>26</v>
      </c>
      <c r="G53" s="188">
        <v>18</v>
      </c>
      <c r="H53" s="188">
        <v>12777</v>
      </c>
      <c r="I53" s="188">
        <v>28</v>
      </c>
      <c r="J53" s="188">
        <v>18</v>
      </c>
      <c r="K53" s="188">
        <v>3073</v>
      </c>
      <c r="L53" s="188">
        <v>20953</v>
      </c>
      <c r="M53" s="188">
        <v>24026</v>
      </c>
      <c r="N53" s="188">
        <v>3</v>
      </c>
      <c r="O53" s="188">
        <v>2</v>
      </c>
      <c r="P53" s="188">
        <v>64</v>
      </c>
      <c r="Q53" s="188">
        <v>28</v>
      </c>
      <c r="R53" s="188">
        <v>67</v>
      </c>
      <c r="S53" s="188">
        <v>30</v>
      </c>
      <c r="T53" s="188">
        <v>0</v>
      </c>
      <c r="U53" s="188">
        <v>20</v>
      </c>
      <c r="V53" s="188">
        <v>20</v>
      </c>
      <c r="W53" s="189" t="s">
        <v>125</v>
      </c>
      <c r="X53" s="189" t="s">
        <v>125</v>
      </c>
      <c r="Y53" s="189" t="s">
        <v>125</v>
      </c>
      <c r="Z53" s="188">
        <v>13502</v>
      </c>
      <c r="AA53" s="188">
        <v>13502</v>
      </c>
      <c r="AB53" s="188">
        <v>0</v>
      </c>
      <c r="AC53" s="188">
        <v>3160315</v>
      </c>
      <c r="AD53" s="188">
        <v>5835</v>
      </c>
      <c r="AE53" s="190">
        <v>3166150</v>
      </c>
      <c r="AY53" s="192"/>
      <c r="AZ53" s="192"/>
    </row>
    <row r="54" spans="1:52" s="191" customFormat="1" ht="15" customHeight="1">
      <c r="A54" s="187" t="s">
        <v>170</v>
      </c>
      <c r="B54" s="188">
        <v>10</v>
      </c>
      <c r="C54" s="188">
        <v>0</v>
      </c>
      <c r="D54" s="188">
        <v>0</v>
      </c>
      <c r="E54" s="188">
        <v>148</v>
      </c>
      <c r="F54" s="188">
        <v>0</v>
      </c>
      <c r="G54" s="188">
        <v>0</v>
      </c>
      <c r="H54" s="188">
        <v>158</v>
      </c>
      <c r="I54" s="188">
        <v>0</v>
      </c>
      <c r="J54" s="188">
        <v>0</v>
      </c>
      <c r="K54" s="188">
        <v>24</v>
      </c>
      <c r="L54" s="188">
        <v>246</v>
      </c>
      <c r="M54" s="188">
        <v>270</v>
      </c>
      <c r="N54" s="188">
        <v>0</v>
      </c>
      <c r="O54" s="188">
        <v>0</v>
      </c>
      <c r="P54" s="188">
        <v>0</v>
      </c>
      <c r="Q54" s="188">
        <v>0</v>
      </c>
      <c r="R54" s="188">
        <v>0</v>
      </c>
      <c r="S54" s="188">
        <v>0</v>
      </c>
      <c r="T54" s="188">
        <v>0</v>
      </c>
      <c r="U54" s="188">
        <v>0</v>
      </c>
      <c r="V54" s="188">
        <v>0</v>
      </c>
      <c r="W54" s="189" t="s">
        <v>125</v>
      </c>
      <c r="X54" s="189" t="s">
        <v>125</v>
      </c>
      <c r="Y54" s="189" t="s">
        <v>125</v>
      </c>
      <c r="Z54" s="188">
        <v>166</v>
      </c>
      <c r="AA54" s="188">
        <v>166</v>
      </c>
      <c r="AB54" s="188">
        <v>0</v>
      </c>
      <c r="AC54" s="188">
        <v>33861</v>
      </c>
      <c r="AD54" s="188">
        <v>0</v>
      </c>
      <c r="AE54" s="190">
        <v>33861</v>
      </c>
      <c r="AY54" s="192"/>
      <c r="AZ54" s="192"/>
    </row>
    <row r="55" spans="1:52" s="191" customFormat="1" ht="15" customHeight="1">
      <c r="A55" s="187" t="s">
        <v>171</v>
      </c>
      <c r="B55" s="188">
        <v>367</v>
      </c>
      <c r="C55" s="188">
        <v>1</v>
      </c>
      <c r="D55" s="188">
        <v>0</v>
      </c>
      <c r="E55" s="188">
        <v>2718</v>
      </c>
      <c r="F55" s="188">
        <v>6</v>
      </c>
      <c r="G55" s="188">
        <v>1</v>
      </c>
      <c r="H55" s="188">
        <v>3085</v>
      </c>
      <c r="I55" s="188">
        <v>7</v>
      </c>
      <c r="J55" s="188">
        <v>1</v>
      </c>
      <c r="K55" s="188">
        <v>995</v>
      </c>
      <c r="L55" s="188">
        <v>5439</v>
      </c>
      <c r="M55" s="188">
        <v>6434</v>
      </c>
      <c r="N55" s="188">
        <v>2</v>
      </c>
      <c r="O55" s="188">
        <v>1</v>
      </c>
      <c r="P55" s="188">
        <v>19</v>
      </c>
      <c r="Q55" s="188">
        <v>7</v>
      </c>
      <c r="R55" s="188">
        <v>21</v>
      </c>
      <c r="S55" s="188">
        <v>8</v>
      </c>
      <c r="T55" s="188">
        <v>0</v>
      </c>
      <c r="U55" s="188">
        <v>2</v>
      </c>
      <c r="V55" s="188">
        <v>2</v>
      </c>
      <c r="W55" s="189" t="s">
        <v>125</v>
      </c>
      <c r="X55" s="189" t="s">
        <v>125</v>
      </c>
      <c r="Y55" s="189" t="s">
        <v>125</v>
      </c>
      <c r="Z55" s="188">
        <v>3286</v>
      </c>
      <c r="AA55" s="188">
        <v>3286</v>
      </c>
      <c r="AB55" s="188">
        <v>0</v>
      </c>
      <c r="AC55" s="188">
        <v>858563</v>
      </c>
      <c r="AD55" s="188">
        <v>831</v>
      </c>
      <c r="AE55" s="190">
        <v>859394</v>
      </c>
      <c r="AY55" s="192"/>
      <c r="AZ55" s="192"/>
    </row>
    <row r="56" spans="1:52" s="191" customFormat="1" ht="15" customHeight="1">
      <c r="A56" s="187" t="s">
        <v>172</v>
      </c>
      <c r="B56" s="188">
        <v>2407</v>
      </c>
      <c r="C56" s="188">
        <v>19</v>
      </c>
      <c r="D56" s="188">
        <v>1</v>
      </c>
      <c r="E56" s="188">
        <v>19111</v>
      </c>
      <c r="F56" s="188">
        <v>153</v>
      </c>
      <c r="G56" s="188">
        <v>65</v>
      </c>
      <c r="H56" s="188">
        <v>21518</v>
      </c>
      <c r="I56" s="188">
        <v>172</v>
      </c>
      <c r="J56" s="188">
        <v>66</v>
      </c>
      <c r="K56" s="188">
        <v>5720</v>
      </c>
      <c r="L56" s="188">
        <v>34764</v>
      </c>
      <c r="M56" s="188">
        <v>40484</v>
      </c>
      <c r="N56" s="188">
        <v>48</v>
      </c>
      <c r="O56" s="188">
        <v>22</v>
      </c>
      <c r="P56" s="188">
        <v>354</v>
      </c>
      <c r="Q56" s="188">
        <v>182</v>
      </c>
      <c r="R56" s="188">
        <v>402</v>
      </c>
      <c r="S56" s="188">
        <v>204</v>
      </c>
      <c r="T56" s="188">
        <v>2</v>
      </c>
      <c r="U56" s="188">
        <v>87</v>
      </c>
      <c r="V56" s="188">
        <v>89</v>
      </c>
      <c r="W56" s="189" t="s">
        <v>125</v>
      </c>
      <c r="X56" s="189" t="s">
        <v>125</v>
      </c>
      <c r="Y56" s="189" t="s">
        <v>125</v>
      </c>
      <c r="Z56" s="188">
        <v>22841</v>
      </c>
      <c r="AA56" s="188">
        <v>22841</v>
      </c>
      <c r="AB56" s="188">
        <v>0</v>
      </c>
      <c r="AC56" s="188">
        <v>5740818</v>
      </c>
      <c r="AD56" s="188">
        <v>34946</v>
      </c>
      <c r="AE56" s="190">
        <v>5775764</v>
      </c>
      <c r="AY56" s="192"/>
      <c r="AZ56" s="192"/>
    </row>
    <row r="57" spans="1:52" s="191" customFormat="1" ht="15" customHeight="1">
      <c r="A57" s="187" t="s">
        <v>173</v>
      </c>
      <c r="B57" s="188">
        <v>1371</v>
      </c>
      <c r="C57" s="188">
        <v>35</v>
      </c>
      <c r="D57" s="188">
        <v>1</v>
      </c>
      <c r="E57" s="188">
        <v>16316</v>
      </c>
      <c r="F57" s="188">
        <v>223</v>
      </c>
      <c r="G57" s="188">
        <v>52</v>
      </c>
      <c r="H57" s="188">
        <v>17687</v>
      </c>
      <c r="I57" s="188">
        <v>258</v>
      </c>
      <c r="J57" s="188">
        <v>53</v>
      </c>
      <c r="K57" s="188">
        <v>3248</v>
      </c>
      <c r="L57" s="188">
        <v>27791</v>
      </c>
      <c r="M57" s="188">
        <v>31039</v>
      </c>
      <c r="N57" s="188">
        <v>86</v>
      </c>
      <c r="O57" s="188">
        <v>40</v>
      </c>
      <c r="P57" s="188">
        <v>518</v>
      </c>
      <c r="Q57" s="188">
        <v>240</v>
      </c>
      <c r="R57" s="188">
        <v>604</v>
      </c>
      <c r="S57" s="188">
        <v>280</v>
      </c>
      <c r="T57" s="188">
        <v>1</v>
      </c>
      <c r="U57" s="188">
        <v>71</v>
      </c>
      <c r="V57" s="188">
        <v>72</v>
      </c>
      <c r="W57" s="189" t="s">
        <v>125</v>
      </c>
      <c r="X57" s="189" t="s">
        <v>125</v>
      </c>
      <c r="Y57" s="189" t="s">
        <v>125</v>
      </c>
      <c r="Z57" s="188">
        <v>20377</v>
      </c>
      <c r="AA57" s="188">
        <v>20377</v>
      </c>
      <c r="AB57" s="188">
        <v>0</v>
      </c>
      <c r="AC57" s="188">
        <v>4177402</v>
      </c>
      <c r="AD57" s="188">
        <v>31320</v>
      </c>
      <c r="AE57" s="190">
        <v>4208722</v>
      </c>
      <c r="AY57" s="192"/>
      <c r="AZ57" s="192"/>
    </row>
    <row r="58" spans="1:52" s="191" customFormat="1" ht="15" customHeight="1">
      <c r="A58" s="187" t="s">
        <v>174</v>
      </c>
      <c r="B58" s="188">
        <v>5442</v>
      </c>
      <c r="C58" s="188">
        <v>35</v>
      </c>
      <c r="D58" s="188">
        <v>1</v>
      </c>
      <c r="E58" s="188">
        <v>35239</v>
      </c>
      <c r="F58" s="188">
        <v>173</v>
      </c>
      <c r="G58" s="188">
        <v>30</v>
      </c>
      <c r="H58" s="188">
        <v>40681</v>
      </c>
      <c r="I58" s="188">
        <v>208</v>
      </c>
      <c r="J58" s="188">
        <v>31</v>
      </c>
      <c r="K58" s="188">
        <v>14039</v>
      </c>
      <c r="L58" s="188">
        <v>70933</v>
      </c>
      <c r="M58" s="188">
        <v>84972</v>
      </c>
      <c r="N58" s="188">
        <v>100</v>
      </c>
      <c r="O58" s="188">
        <v>40</v>
      </c>
      <c r="P58" s="188">
        <v>496</v>
      </c>
      <c r="Q58" s="188">
        <v>198</v>
      </c>
      <c r="R58" s="188">
        <v>596</v>
      </c>
      <c r="S58" s="188">
        <v>238</v>
      </c>
      <c r="T58" s="188">
        <v>1</v>
      </c>
      <c r="U58" s="188">
        <v>37</v>
      </c>
      <c r="V58" s="188">
        <v>38</v>
      </c>
      <c r="W58" s="189" t="s">
        <v>125</v>
      </c>
      <c r="X58" s="189" t="s">
        <v>125</v>
      </c>
      <c r="Y58" s="189" t="s">
        <v>125</v>
      </c>
      <c r="Z58" s="188">
        <v>42631</v>
      </c>
      <c r="AA58" s="188">
        <v>42631</v>
      </c>
      <c r="AB58" s="188">
        <v>0</v>
      </c>
      <c r="AC58" s="188">
        <v>11519543</v>
      </c>
      <c r="AD58" s="188">
        <v>29573</v>
      </c>
      <c r="AE58" s="190">
        <v>11549116</v>
      </c>
      <c r="AY58" s="192"/>
      <c r="AZ58" s="192"/>
    </row>
    <row r="59" spans="1:52" s="191" customFormat="1" ht="15" customHeight="1">
      <c r="A59" s="187" t="s">
        <v>216</v>
      </c>
      <c r="B59" s="188">
        <v>638</v>
      </c>
      <c r="C59" s="188">
        <v>16</v>
      </c>
      <c r="D59" s="188">
        <v>0</v>
      </c>
      <c r="E59" s="188">
        <v>4860</v>
      </c>
      <c r="F59" s="188">
        <v>42</v>
      </c>
      <c r="G59" s="188">
        <v>14</v>
      </c>
      <c r="H59" s="188">
        <v>5498</v>
      </c>
      <c r="I59" s="188">
        <v>58</v>
      </c>
      <c r="J59" s="188">
        <v>14</v>
      </c>
      <c r="K59" s="188">
        <v>1725</v>
      </c>
      <c r="L59" s="188">
        <v>10729</v>
      </c>
      <c r="M59" s="188">
        <v>12454</v>
      </c>
      <c r="N59" s="188">
        <v>46</v>
      </c>
      <c r="O59" s="188">
        <v>17</v>
      </c>
      <c r="P59" s="188">
        <v>119</v>
      </c>
      <c r="Q59" s="188">
        <v>54</v>
      </c>
      <c r="R59" s="188">
        <v>165</v>
      </c>
      <c r="S59" s="188">
        <v>71</v>
      </c>
      <c r="T59" s="188">
        <v>0</v>
      </c>
      <c r="U59" s="188">
        <v>19</v>
      </c>
      <c r="V59" s="188">
        <v>19</v>
      </c>
      <c r="W59" s="189" t="s">
        <v>125</v>
      </c>
      <c r="X59" s="189" t="s">
        <v>125</v>
      </c>
      <c r="Y59" s="189" t="s">
        <v>125</v>
      </c>
      <c r="Z59" s="188">
        <v>5831</v>
      </c>
      <c r="AA59" s="188">
        <v>5831</v>
      </c>
      <c r="AB59" s="188">
        <v>0</v>
      </c>
      <c r="AC59" s="188">
        <v>1681237</v>
      </c>
      <c r="AD59" s="188">
        <v>10018</v>
      </c>
      <c r="AE59" s="190">
        <v>1691255</v>
      </c>
      <c r="AY59" s="192"/>
      <c r="AZ59" s="192"/>
    </row>
    <row r="60" spans="1:52" s="191" customFormat="1" ht="15" customHeight="1">
      <c r="A60" s="187" t="s">
        <v>176</v>
      </c>
      <c r="B60" s="188">
        <v>486</v>
      </c>
      <c r="C60" s="188">
        <v>0</v>
      </c>
      <c r="D60" s="188">
        <v>0</v>
      </c>
      <c r="E60" s="188">
        <v>3885</v>
      </c>
      <c r="F60" s="188">
        <v>27</v>
      </c>
      <c r="G60" s="188">
        <v>1</v>
      </c>
      <c r="H60" s="188">
        <v>4371</v>
      </c>
      <c r="I60" s="188">
        <v>27</v>
      </c>
      <c r="J60" s="188">
        <v>1</v>
      </c>
      <c r="K60" s="188">
        <v>1254</v>
      </c>
      <c r="L60" s="188">
        <v>8100</v>
      </c>
      <c r="M60" s="188">
        <v>9354</v>
      </c>
      <c r="N60" s="188">
        <v>0</v>
      </c>
      <c r="O60" s="188">
        <v>0</v>
      </c>
      <c r="P60" s="188">
        <v>77</v>
      </c>
      <c r="Q60" s="188">
        <v>33</v>
      </c>
      <c r="R60" s="188">
        <v>77</v>
      </c>
      <c r="S60" s="188">
        <v>33</v>
      </c>
      <c r="T60" s="188">
        <v>0</v>
      </c>
      <c r="U60" s="188">
        <v>1</v>
      </c>
      <c r="V60" s="188">
        <v>1</v>
      </c>
      <c r="W60" s="189" t="s">
        <v>125</v>
      </c>
      <c r="X60" s="189" t="s">
        <v>125</v>
      </c>
      <c r="Y60" s="189" t="s">
        <v>125</v>
      </c>
      <c r="Z60" s="188">
        <v>4697</v>
      </c>
      <c r="AA60" s="188">
        <v>4697</v>
      </c>
      <c r="AB60" s="188">
        <v>0</v>
      </c>
      <c r="AC60" s="188">
        <v>1209541</v>
      </c>
      <c r="AD60" s="188">
        <v>4529</v>
      </c>
      <c r="AE60" s="190">
        <v>1214070</v>
      </c>
      <c r="AY60" s="192"/>
      <c r="AZ60" s="192"/>
    </row>
    <row r="61" spans="1:52" s="191" customFormat="1" ht="15" customHeight="1">
      <c r="A61" s="187" t="s">
        <v>177</v>
      </c>
      <c r="B61" s="188">
        <v>58</v>
      </c>
      <c r="C61" s="188">
        <v>0</v>
      </c>
      <c r="D61" s="188">
        <v>0</v>
      </c>
      <c r="E61" s="188">
        <v>957</v>
      </c>
      <c r="F61" s="188">
        <v>1</v>
      </c>
      <c r="G61" s="188">
        <v>0</v>
      </c>
      <c r="H61" s="188">
        <v>1015</v>
      </c>
      <c r="I61" s="188">
        <v>1</v>
      </c>
      <c r="J61" s="188">
        <v>0</v>
      </c>
      <c r="K61" s="188">
        <v>134</v>
      </c>
      <c r="L61" s="188">
        <v>1616</v>
      </c>
      <c r="M61" s="188">
        <v>1750</v>
      </c>
      <c r="N61" s="188">
        <v>0</v>
      </c>
      <c r="O61" s="188">
        <v>0</v>
      </c>
      <c r="P61" s="188">
        <v>2</v>
      </c>
      <c r="Q61" s="188">
        <v>1</v>
      </c>
      <c r="R61" s="188">
        <v>2</v>
      </c>
      <c r="S61" s="188">
        <v>1</v>
      </c>
      <c r="T61" s="188">
        <v>0</v>
      </c>
      <c r="U61" s="188">
        <v>0</v>
      </c>
      <c r="V61" s="188">
        <v>0</v>
      </c>
      <c r="W61" s="189" t="s">
        <v>125</v>
      </c>
      <c r="X61" s="189" t="s">
        <v>125</v>
      </c>
      <c r="Y61" s="189" t="s">
        <v>125</v>
      </c>
      <c r="Z61" s="188">
        <v>1096</v>
      </c>
      <c r="AA61" s="188">
        <v>1096</v>
      </c>
      <c r="AB61" s="188">
        <v>0</v>
      </c>
      <c r="AC61" s="188">
        <v>250226</v>
      </c>
      <c r="AD61" s="188">
        <v>154</v>
      </c>
      <c r="AE61" s="190">
        <v>250380</v>
      </c>
      <c r="AY61" s="192"/>
      <c r="AZ61" s="192"/>
    </row>
    <row r="62" spans="1:52" s="191" customFormat="1" ht="15" customHeight="1">
      <c r="A62" s="187" t="s">
        <v>178</v>
      </c>
      <c r="B62" s="188">
        <v>7267</v>
      </c>
      <c r="C62" s="188">
        <v>62</v>
      </c>
      <c r="D62" s="188">
        <v>1</v>
      </c>
      <c r="E62" s="188">
        <v>43324</v>
      </c>
      <c r="F62" s="188">
        <v>756</v>
      </c>
      <c r="G62" s="188">
        <v>209</v>
      </c>
      <c r="H62" s="188">
        <v>50591</v>
      </c>
      <c r="I62" s="188">
        <v>818</v>
      </c>
      <c r="J62" s="188">
        <v>210</v>
      </c>
      <c r="K62" s="188">
        <v>19842</v>
      </c>
      <c r="L62" s="188">
        <v>96665</v>
      </c>
      <c r="M62" s="188">
        <v>116507</v>
      </c>
      <c r="N62" s="188">
        <v>143</v>
      </c>
      <c r="O62" s="188">
        <v>68</v>
      </c>
      <c r="P62" s="188">
        <v>2105</v>
      </c>
      <c r="Q62" s="188">
        <v>815</v>
      </c>
      <c r="R62" s="188">
        <v>2248</v>
      </c>
      <c r="S62" s="188">
        <v>883</v>
      </c>
      <c r="T62" s="188">
        <v>1</v>
      </c>
      <c r="U62" s="188">
        <v>256</v>
      </c>
      <c r="V62" s="188">
        <v>257</v>
      </c>
      <c r="W62" s="189" t="s">
        <v>125</v>
      </c>
      <c r="X62" s="189" t="s">
        <v>125</v>
      </c>
      <c r="Y62" s="189" t="s">
        <v>125</v>
      </c>
      <c r="Z62" s="188">
        <v>60360</v>
      </c>
      <c r="AA62" s="188">
        <v>60360</v>
      </c>
      <c r="AB62" s="188">
        <v>0</v>
      </c>
      <c r="AC62" s="188">
        <v>16059925</v>
      </c>
      <c r="AD62" s="188">
        <v>131523</v>
      </c>
      <c r="AE62" s="190">
        <v>16191448</v>
      </c>
      <c r="AY62" s="192"/>
      <c r="AZ62" s="192"/>
    </row>
    <row r="63" spans="1:52" s="191" customFormat="1" ht="15" customHeight="1">
      <c r="A63" s="187" t="s">
        <v>179</v>
      </c>
      <c r="B63" s="188">
        <v>270</v>
      </c>
      <c r="C63" s="188">
        <v>1</v>
      </c>
      <c r="D63" s="188">
        <v>0</v>
      </c>
      <c r="E63" s="188">
        <v>2797</v>
      </c>
      <c r="F63" s="188">
        <v>6</v>
      </c>
      <c r="G63" s="188">
        <v>2</v>
      </c>
      <c r="H63" s="188">
        <v>3067</v>
      </c>
      <c r="I63" s="188">
        <v>7</v>
      </c>
      <c r="J63" s="188">
        <v>2</v>
      </c>
      <c r="K63" s="188">
        <v>647</v>
      </c>
      <c r="L63" s="188">
        <v>4708</v>
      </c>
      <c r="M63" s="188">
        <v>5355</v>
      </c>
      <c r="N63" s="188">
        <v>5</v>
      </c>
      <c r="O63" s="188">
        <v>1</v>
      </c>
      <c r="P63" s="188">
        <v>10</v>
      </c>
      <c r="Q63" s="188">
        <v>7</v>
      </c>
      <c r="R63" s="188">
        <v>15</v>
      </c>
      <c r="S63" s="188">
        <v>8</v>
      </c>
      <c r="T63" s="188">
        <v>0</v>
      </c>
      <c r="U63" s="188">
        <v>4</v>
      </c>
      <c r="V63" s="188">
        <v>4</v>
      </c>
      <c r="W63" s="189" t="s">
        <v>125</v>
      </c>
      <c r="X63" s="189" t="s">
        <v>125</v>
      </c>
      <c r="Y63" s="189" t="s">
        <v>125</v>
      </c>
      <c r="Z63" s="188">
        <v>3217</v>
      </c>
      <c r="AA63" s="188">
        <v>3217</v>
      </c>
      <c r="AB63" s="188">
        <v>0</v>
      </c>
      <c r="AC63" s="188">
        <v>711667</v>
      </c>
      <c r="AD63" s="188">
        <v>801</v>
      </c>
      <c r="AE63" s="190">
        <v>712468</v>
      </c>
      <c r="AY63" s="192"/>
      <c r="AZ63" s="192"/>
    </row>
    <row r="64" spans="1:52" s="191" customFormat="1" ht="15" customHeight="1">
      <c r="A64" s="187" t="s">
        <v>180</v>
      </c>
      <c r="B64" s="188">
        <v>2816</v>
      </c>
      <c r="C64" s="188">
        <v>28</v>
      </c>
      <c r="D64" s="188">
        <v>0</v>
      </c>
      <c r="E64" s="188">
        <v>33564</v>
      </c>
      <c r="F64" s="188">
        <v>310</v>
      </c>
      <c r="G64" s="188">
        <v>208</v>
      </c>
      <c r="H64" s="188">
        <v>36380</v>
      </c>
      <c r="I64" s="188">
        <v>338</v>
      </c>
      <c r="J64" s="188">
        <v>208</v>
      </c>
      <c r="K64" s="188">
        <v>7242</v>
      </c>
      <c r="L64" s="188">
        <v>65517</v>
      </c>
      <c r="M64" s="188">
        <v>72759</v>
      </c>
      <c r="N64" s="188">
        <v>54</v>
      </c>
      <c r="O64" s="188">
        <v>38</v>
      </c>
      <c r="P64" s="188">
        <v>769</v>
      </c>
      <c r="Q64" s="188">
        <v>343</v>
      </c>
      <c r="R64" s="188">
        <v>823</v>
      </c>
      <c r="S64" s="188">
        <v>381</v>
      </c>
      <c r="T64" s="188">
        <v>0</v>
      </c>
      <c r="U64" s="188">
        <v>267</v>
      </c>
      <c r="V64" s="188">
        <v>267</v>
      </c>
      <c r="W64" s="189" t="s">
        <v>125</v>
      </c>
      <c r="X64" s="189" t="s">
        <v>125</v>
      </c>
      <c r="Y64" s="189" t="s">
        <v>125</v>
      </c>
      <c r="Z64" s="188">
        <v>42526</v>
      </c>
      <c r="AA64" s="188">
        <v>42526</v>
      </c>
      <c r="AB64" s="188">
        <v>0</v>
      </c>
      <c r="AC64" s="188">
        <v>9970745</v>
      </c>
      <c r="AD64" s="188">
        <v>125249</v>
      </c>
      <c r="AE64" s="190">
        <v>10095994</v>
      </c>
      <c r="AY64" s="192"/>
      <c r="AZ64" s="192"/>
    </row>
    <row r="65" spans="1:52" s="191" customFormat="1" ht="15" customHeight="1">
      <c r="A65" s="187" t="s">
        <v>181</v>
      </c>
      <c r="B65" s="188">
        <v>863</v>
      </c>
      <c r="C65" s="188">
        <v>38</v>
      </c>
      <c r="D65" s="188">
        <v>1</v>
      </c>
      <c r="E65" s="188">
        <v>9205</v>
      </c>
      <c r="F65" s="188">
        <v>148</v>
      </c>
      <c r="G65" s="188">
        <v>57</v>
      </c>
      <c r="H65" s="188">
        <v>10068</v>
      </c>
      <c r="I65" s="188">
        <v>186</v>
      </c>
      <c r="J65" s="188">
        <v>58</v>
      </c>
      <c r="K65" s="188">
        <v>2264</v>
      </c>
      <c r="L65" s="188">
        <v>17083</v>
      </c>
      <c r="M65" s="188">
        <v>19347</v>
      </c>
      <c r="N65" s="188">
        <v>92</v>
      </c>
      <c r="O65" s="188">
        <v>58</v>
      </c>
      <c r="P65" s="188">
        <v>368</v>
      </c>
      <c r="Q65" s="188">
        <v>212</v>
      </c>
      <c r="R65" s="188">
        <v>460</v>
      </c>
      <c r="S65" s="188">
        <v>270</v>
      </c>
      <c r="T65" s="188">
        <v>5</v>
      </c>
      <c r="U65" s="188">
        <v>83</v>
      </c>
      <c r="V65" s="188">
        <v>88</v>
      </c>
      <c r="W65" s="189" t="s">
        <v>125</v>
      </c>
      <c r="X65" s="189" t="s">
        <v>125</v>
      </c>
      <c r="Y65" s="189" t="s">
        <v>125</v>
      </c>
      <c r="Z65" s="188">
        <v>11881</v>
      </c>
      <c r="AA65" s="188">
        <v>11881</v>
      </c>
      <c r="AB65" s="188">
        <v>0</v>
      </c>
      <c r="AC65" s="188">
        <v>2636138</v>
      </c>
      <c r="AD65" s="188">
        <v>41662</v>
      </c>
      <c r="AE65" s="190">
        <v>2677800</v>
      </c>
      <c r="AY65" s="192"/>
      <c r="AZ65" s="192"/>
    </row>
    <row r="66" spans="1:52" s="191" customFormat="1" ht="15" customHeight="1" thickBot="1">
      <c r="A66" s="193" t="s">
        <v>182</v>
      </c>
      <c r="B66" s="194">
        <v>778</v>
      </c>
      <c r="C66" s="194">
        <v>6</v>
      </c>
      <c r="D66" s="194">
        <v>0</v>
      </c>
      <c r="E66" s="194">
        <v>5218</v>
      </c>
      <c r="F66" s="194">
        <v>20</v>
      </c>
      <c r="G66" s="194">
        <v>4</v>
      </c>
      <c r="H66" s="194">
        <v>5996</v>
      </c>
      <c r="I66" s="194">
        <v>26</v>
      </c>
      <c r="J66" s="194">
        <v>4</v>
      </c>
      <c r="K66" s="194">
        <v>2082</v>
      </c>
      <c r="L66" s="194">
        <v>10808</v>
      </c>
      <c r="M66" s="194">
        <v>12890</v>
      </c>
      <c r="N66" s="194">
        <v>16</v>
      </c>
      <c r="O66" s="194">
        <v>7</v>
      </c>
      <c r="P66" s="194">
        <v>60</v>
      </c>
      <c r="Q66" s="194">
        <v>29</v>
      </c>
      <c r="R66" s="194">
        <v>76</v>
      </c>
      <c r="S66" s="194">
        <v>36</v>
      </c>
      <c r="T66" s="194">
        <v>0</v>
      </c>
      <c r="U66" s="194">
        <v>4</v>
      </c>
      <c r="V66" s="194">
        <v>4</v>
      </c>
      <c r="W66" s="195" t="s">
        <v>125</v>
      </c>
      <c r="X66" s="195" t="s">
        <v>125</v>
      </c>
      <c r="Y66" s="195" t="s">
        <v>125</v>
      </c>
      <c r="Z66" s="194">
        <v>6335</v>
      </c>
      <c r="AA66" s="194">
        <v>6335</v>
      </c>
      <c r="AB66" s="194">
        <v>0</v>
      </c>
      <c r="AC66" s="194">
        <v>1767732</v>
      </c>
      <c r="AD66" s="194">
        <v>4810</v>
      </c>
      <c r="AE66" s="196">
        <v>1772542</v>
      </c>
      <c r="AG66" s="197" t="s">
        <v>63</v>
      </c>
      <c r="AY66" s="192"/>
      <c r="AZ66" s="192"/>
    </row>
    <row r="67" spans="1:52" s="191" customFormat="1" ht="15.75" customHeight="1" thickTop="1">
      <c r="A67" s="198" t="s">
        <v>183</v>
      </c>
      <c r="B67" s="199">
        <f>SUBTOTAL(109,Nov16Data[Cell 1])</f>
        <v>255227</v>
      </c>
      <c r="C67" s="199">
        <f>SUBTOTAL(109,Nov16Data[Cell 2])</f>
        <v>4973</v>
      </c>
      <c r="D67" s="199">
        <f>SUBTOTAL(109,Nov16Data[Cell 3])</f>
        <v>342</v>
      </c>
      <c r="E67" s="199">
        <f>SUBTOTAL(109,Nov16Data[Cell 4])</f>
        <v>1758695</v>
      </c>
      <c r="F67" s="199">
        <f>SUBTOTAL(109,Nov16Data[Cell 5])</f>
        <v>20688</v>
      </c>
      <c r="G67" s="199">
        <f>SUBTOTAL(109,Nov16Data[Cell 6])</f>
        <v>10749</v>
      </c>
      <c r="H67" s="199">
        <f>SUBTOTAL(109,Nov16Data[Cell 15])</f>
        <v>2013922</v>
      </c>
      <c r="I67" s="199">
        <f>SUBTOTAL(109,Nov16Data[Cell 16])</f>
        <v>25661</v>
      </c>
      <c r="J67" s="199">
        <f>SUBTOTAL(109,Nov16Data[Cell 17])</f>
        <v>11091</v>
      </c>
      <c r="K67" s="199">
        <f>SUBTOTAL(109,Nov16Data[Cell 7])</f>
        <v>667476</v>
      </c>
      <c r="L67" s="199">
        <f>SUBTOTAL(109,Nov16Data[Cell 8])</f>
        <v>3500316</v>
      </c>
      <c r="M67" s="199">
        <f>SUBTOTAL(109,Nov16Data[Cell 18])</f>
        <v>4167792</v>
      </c>
      <c r="N67" s="199">
        <f>SUBTOTAL(109,Nov16Data[Cell 9])</f>
        <v>11003</v>
      </c>
      <c r="O67" s="199">
        <f>SUBTOTAL(109,Nov16Data[Cell 10])</f>
        <v>6661</v>
      </c>
      <c r="P67" s="199">
        <f>SUBTOTAL(109,Nov16Data[Cell 11])</f>
        <v>49419</v>
      </c>
      <c r="Q67" s="199">
        <f>SUBTOTAL(109,Nov16Data[Cell 12])</f>
        <v>25226</v>
      </c>
      <c r="R67" s="199">
        <f>SUBTOTAL(109,Nov16Data[Cell 19])</f>
        <v>60422</v>
      </c>
      <c r="S67" s="199">
        <f>SUBTOTAL(109,Nov16Data[Cell 20])</f>
        <v>31887</v>
      </c>
      <c r="T67" s="199">
        <f>SUBTOTAL(109,Nov16Data[Cell 13])</f>
        <v>455</v>
      </c>
      <c r="U67" s="199">
        <f>SUBTOTAL(109,Nov16Data[Cell 14])</f>
        <v>13806</v>
      </c>
      <c r="V67" s="199">
        <f>SUBTOTAL(109,Nov16Data[Cell 21])</f>
        <v>14261</v>
      </c>
      <c r="W67" s="200"/>
      <c r="X67" s="200"/>
      <c r="Y67" s="200"/>
      <c r="Z67" s="199">
        <f>SUBTOTAL(109,Nov16Data[Cell 25])</f>
        <v>2208424</v>
      </c>
      <c r="AA67" s="199">
        <f>SUBTOTAL(109,Nov16Data[Cell 26])</f>
        <v>2208424</v>
      </c>
      <c r="AB67" s="199">
        <f>SUBTOTAL(109,Nov16Data[Cell 27])</f>
        <v>0</v>
      </c>
      <c r="AC67" s="199">
        <f>SUBTOTAL(109,Nov16Data[Cell 28])</f>
        <v>584355895</v>
      </c>
      <c r="AD67" s="199">
        <f>SUBTOTAL(109,Nov16Data[Cell 29])</f>
        <v>5533296</v>
      </c>
      <c r="AE67" s="199">
        <f>SUBTOTAL(109,Nov16Data[Cell 30])</f>
        <v>589889191</v>
      </c>
      <c r="AG67" s="201">
        <v>1196845302</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5"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193</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254382</v>
      </c>
      <c r="F12" s="54">
        <v>2</v>
      </c>
      <c r="G12" s="55">
        <v>4982</v>
      </c>
      <c r="H12" s="54">
        <v>3</v>
      </c>
      <c r="I12" s="55">
        <v>348</v>
      </c>
      <c r="J12" s="54">
        <v>4</v>
      </c>
      <c r="K12" s="55">
        <v>1748828</v>
      </c>
      <c r="L12" s="54">
        <v>5</v>
      </c>
      <c r="M12" s="55">
        <v>21023</v>
      </c>
      <c r="N12" s="54">
        <v>6</v>
      </c>
      <c r="O12" s="55">
        <v>10784</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647970</v>
      </c>
      <c r="F14" s="68"/>
      <c r="G14" s="69"/>
      <c r="H14" s="68"/>
      <c r="I14" s="69"/>
      <c r="J14" s="66"/>
      <c r="K14" s="67">
        <v>3485759</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11049</v>
      </c>
      <c r="F16" s="68"/>
      <c r="G16" s="69"/>
      <c r="H16" s="66"/>
      <c r="I16" s="67">
        <v>6709</v>
      </c>
      <c r="J16" s="66"/>
      <c r="K16" s="67">
        <v>50184</v>
      </c>
      <c r="L16" s="68"/>
      <c r="M16" s="69"/>
      <c r="N16" s="66"/>
      <c r="O16" s="67">
        <v>25726</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466</v>
      </c>
      <c r="J18" s="68"/>
      <c r="K18" s="69"/>
      <c r="L18" s="68"/>
      <c r="M18" s="69"/>
      <c r="N18" s="66"/>
      <c r="O18" s="67">
        <v>13869</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2003210</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26005</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11132</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4133729</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61233</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32435</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14335</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2199562</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2199562</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582415435</v>
      </c>
    </row>
    <row r="37" spans="1:26" ht="17.25" customHeight="1">
      <c r="A37" s="97" t="s">
        <v>59</v>
      </c>
      <c r="B37" s="98" t="s">
        <v>60</v>
      </c>
      <c r="C37" s="98"/>
      <c r="D37" s="99"/>
      <c r="E37" s="98"/>
      <c r="F37" s="98"/>
      <c r="G37" s="98"/>
      <c r="H37" s="98"/>
      <c r="I37" s="98"/>
      <c r="J37" s="103"/>
      <c r="K37" s="103"/>
      <c r="L37" s="103"/>
      <c r="M37" s="103"/>
      <c r="N37" s="124">
        <v>29</v>
      </c>
      <c r="O37" s="125">
        <v>5568023</v>
      </c>
    </row>
    <row r="38" spans="1:26" ht="17.25" customHeight="1">
      <c r="A38" s="97" t="s">
        <v>61</v>
      </c>
      <c r="B38" s="98" t="s">
        <v>62</v>
      </c>
      <c r="C38" s="98"/>
      <c r="D38" s="99"/>
      <c r="E38" s="98"/>
      <c r="F38" s="98"/>
      <c r="G38" s="98"/>
      <c r="H38" s="98"/>
      <c r="I38" s="98"/>
      <c r="J38" s="103"/>
      <c r="K38" s="103"/>
      <c r="L38" s="103"/>
      <c r="M38" s="103"/>
      <c r="N38" s="126">
        <v>30</v>
      </c>
      <c r="O38" s="127">
        <v>587983458</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1192930198</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194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193</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5730</v>
      </c>
      <c r="C9" s="188">
        <v>222</v>
      </c>
      <c r="D9" s="188">
        <v>8</v>
      </c>
      <c r="E9" s="188">
        <v>51031</v>
      </c>
      <c r="F9" s="188">
        <v>1402</v>
      </c>
      <c r="G9" s="188">
        <v>679</v>
      </c>
      <c r="H9" s="188">
        <v>56761</v>
      </c>
      <c r="I9" s="188">
        <v>1624</v>
      </c>
      <c r="J9" s="188">
        <v>687</v>
      </c>
      <c r="K9" s="188">
        <v>13188</v>
      </c>
      <c r="L9" s="188">
        <v>93508</v>
      </c>
      <c r="M9" s="188">
        <v>106696</v>
      </c>
      <c r="N9" s="188">
        <v>532</v>
      </c>
      <c r="O9" s="188">
        <v>306</v>
      </c>
      <c r="P9" s="188">
        <v>3157</v>
      </c>
      <c r="Q9" s="188">
        <v>1810</v>
      </c>
      <c r="R9" s="188">
        <v>3689</v>
      </c>
      <c r="S9" s="188">
        <v>2116</v>
      </c>
      <c r="T9" s="188">
        <v>17</v>
      </c>
      <c r="U9" s="188">
        <v>912</v>
      </c>
      <c r="V9" s="188">
        <v>929</v>
      </c>
      <c r="W9" s="189" t="s">
        <v>125</v>
      </c>
      <c r="X9" s="189" t="s">
        <v>125</v>
      </c>
      <c r="Y9" s="189" t="s">
        <v>125</v>
      </c>
      <c r="Z9" s="188">
        <v>59072</v>
      </c>
      <c r="AA9" s="188">
        <v>59072</v>
      </c>
      <c r="AB9" s="188">
        <v>0</v>
      </c>
      <c r="AC9" s="188">
        <v>15642862</v>
      </c>
      <c r="AD9" s="188">
        <v>346179</v>
      </c>
      <c r="AE9" s="190">
        <v>15989041</v>
      </c>
    </row>
    <row r="10" spans="1:52" ht="15" customHeight="1">
      <c r="A10" s="187" t="s">
        <v>126</v>
      </c>
      <c r="B10" s="188">
        <v>0</v>
      </c>
      <c r="C10" s="188">
        <v>0</v>
      </c>
      <c r="D10" s="188">
        <v>0</v>
      </c>
      <c r="E10" s="188">
        <v>90</v>
      </c>
      <c r="F10" s="188">
        <v>0</v>
      </c>
      <c r="G10" s="188">
        <v>0</v>
      </c>
      <c r="H10" s="188">
        <v>90</v>
      </c>
      <c r="I10" s="188">
        <v>0</v>
      </c>
      <c r="J10" s="188">
        <v>0</v>
      </c>
      <c r="K10" s="188">
        <v>0</v>
      </c>
      <c r="L10" s="188">
        <v>148</v>
      </c>
      <c r="M10" s="188">
        <v>148</v>
      </c>
      <c r="N10" s="188">
        <v>0</v>
      </c>
      <c r="O10" s="188">
        <v>0</v>
      </c>
      <c r="P10" s="188">
        <v>0</v>
      </c>
      <c r="Q10" s="188">
        <v>0</v>
      </c>
      <c r="R10" s="188">
        <v>0</v>
      </c>
      <c r="S10" s="188">
        <v>0</v>
      </c>
      <c r="T10" s="188">
        <v>0</v>
      </c>
      <c r="U10" s="188">
        <v>0</v>
      </c>
      <c r="V10" s="188">
        <v>0</v>
      </c>
      <c r="W10" s="189" t="s">
        <v>125</v>
      </c>
      <c r="X10" s="189" t="s">
        <v>125</v>
      </c>
      <c r="Y10" s="189" t="s">
        <v>125</v>
      </c>
      <c r="Z10" s="188">
        <v>91</v>
      </c>
      <c r="AA10" s="188">
        <v>91</v>
      </c>
      <c r="AB10" s="188">
        <v>0</v>
      </c>
      <c r="AC10" s="188">
        <v>17269</v>
      </c>
      <c r="AD10" s="188">
        <v>0</v>
      </c>
      <c r="AE10" s="190">
        <v>17269</v>
      </c>
    </row>
    <row r="11" spans="1:52" ht="15" customHeight="1">
      <c r="A11" s="187" t="s">
        <v>127</v>
      </c>
      <c r="B11" s="188">
        <v>145</v>
      </c>
      <c r="C11" s="188">
        <v>0</v>
      </c>
      <c r="D11" s="188">
        <v>0</v>
      </c>
      <c r="E11" s="188">
        <v>1570</v>
      </c>
      <c r="F11" s="188">
        <v>4</v>
      </c>
      <c r="G11" s="188">
        <v>1</v>
      </c>
      <c r="H11" s="188">
        <v>1715</v>
      </c>
      <c r="I11" s="188">
        <v>4</v>
      </c>
      <c r="J11" s="188">
        <v>1</v>
      </c>
      <c r="K11" s="188">
        <v>377</v>
      </c>
      <c r="L11" s="188">
        <v>2819</v>
      </c>
      <c r="M11" s="188">
        <v>3196</v>
      </c>
      <c r="N11" s="188">
        <v>0</v>
      </c>
      <c r="O11" s="188">
        <v>0</v>
      </c>
      <c r="P11" s="188">
        <v>11</v>
      </c>
      <c r="Q11" s="188">
        <v>4</v>
      </c>
      <c r="R11" s="188">
        <v>11</v>
      </c>
      <c r="S11" s="188">
        <v>4</v>
      </c>
      <c r="T11" s="188">
        <v>0</v>
      </c>
      <c r="U11" s="188">
        <v>1</v>
      </c>
      <c r="V11" s="188">
        <v>1</v>
      </c>
      <c r="W11" s="189" t="s">
        <v>125</v>
      </c>
      <c r="X11" s="189" t="s">
        <v>125</v>
      </c>
      <c r="Y11" s="189" t="s">
        <v>125</v>
      </c>
      <c r="Z11" s="188">
        <v>1820</v>
      </c>
      <c r="AA11" s="188">
        <v>1820</v>
      </c>
      <c r="AB11" s="188">
        <v>0</v>
      </c>
      <c r="AC11" s="188">
        <v>425512</v>
      </c>
      <c r="AD11" s="188">
        <v>780</v>
      </c>
      <c r="AE11" s="190">
        <v>426292</v>
      </c>
    </row>
    <row r="12" spans="1:52" ht="15" customHeight="1">
      <c r="A12" s="187" t="s">
        <v>128</v>
      </c>
      <c r="B12" s="188">
        <v>1705</v>
      </c>
      <c r="C12" s="188">
        <v>6</v>
      </c>
      <c r="D12" s="188">
        <v>1</v>
      </c>
      <c r="E12" s="188">
        <v>15025</v>
      </c>
      <c r="F12" s="188">
        <v>41</v>
      </c>
      <c r="G12" s="188">
        <v>32</v>
      </c>
      <c r="H12" s="188">
        <v>16730</v>
      </c>
      <c r="I12" s="188">
        <v>47</v>
      </c>
      <c r="J12" s="188">
        <v>33</v>
      </c>
      <c r="K12" s="188">
        <v>4190</v>
      </c>
      <c r="L12" s="188">
        <v>27144</v>
      </c>
      <c r="M12" s="188">
        <v>31334</v>
      </c>
      <c r="N12" s="188">
        <v>8</v>
      </c>
      <c r="O12" s="188">
        <v>6</v>
      </c>
      <c r="P12" s="188">
        <v>120</v>
      </c>
      <c r="Q12" s="188">
        <v>43</v>
      </c>
      <c r="R12" s="188">
        <v>128</v>
      </c>
      <c r="S12" s="188">
        <v>49</v>
      </c>
      <c r="T12" s="188">
        <v>1</v>
      </c>
      <c r="U12" s="188">
        <v>38</v>
      </c>
      <c r="V12" s="188">
        <v>39</v>
      </c>
      <c r="W12" s="189" t="s">
        <v>125</v>
      </c>
      <c r="X12" s="189" t="s">
        <v>125</v>
      </c>
      <c r="Y12" s="189" t="s">
        <v>125</v>
      </c>
      <c r="Z12" s="188">
        <v>17796</v>
      </c>
      <c r="AA12" s="188">
        <v>17796</v>
      </c>
      <c r="AB12" s="188">
        <v>0</v>
      </c>
      <c r="AC12" s="188">
        <v>4271656</v>
      </c>
      <c r="AD12" s="188">
        <v>12841</v>
      </c>
      <c r="AE12" s="190">
        <v>4284497</v>
      </c>
    </row>
    <row r="13" spans="1:52" ht="15" customHeight="1">
      <c r="A13" s="187" t="s">
        <v>129</v>
      </c>
      <c r="B13" s="188">
        <v>185</v>
      </c>
      <c r="C13" s="188">
        <v>0</v>
      </c>
      <c r="D13" s="188">
        <v>0</v>
      </c>
      <c r="E13" s="188">
        <v>2638</v>
      </c>
      <c r="F13" s="188">
        <v>12</v>
      </c>
      <c r="G13" s="188">
        <v>4</v>
      </c>
      <c r="H13" s="188">
        <v>2823</v>
      </c>
      <c r="I13" s="188">
        <v>12</v>
      </c>
      <c r="J13" s="188">
        <v>4</v>
      </c>
      <c r="K13" s="188">
        <v>495</v>
      </c>
      <c r="L13" s="188">
        <v>4640</v>
      </c>
      <c r="M13" s="188">
        <v>5135</v>
      </c>
      <c r="N13" s="188">
        <v>0</v>
      </c>
      <c r="O13" s="188">
        <v>0</v>
      </c>
      <c r="P13" s="188">
        <v>20</v>
      </c>
      <c r="Q13" s="188">
        <v>15</v>
      </c>
      <c r="R13" s="188">
        <v>20</v>
      </c>
      <c r="S13" s="188">
        <v>15</v>
      </c>
      <c r="T13" s="188">
        <v>0</v>
      </c>
      <c r="U13" s="188">
        <v>5</v>
      </c>
      <c r="V13" s="188">
        <v>5</v>
      </c>
      <c r="W13" s="189" t="s">
        <v>125</v>
      </c>
      <c r="X13" s="189" t="s">
        <v>125</v>
      </c>
      <c r="Y13" s="189" t="s">
        <v>125</v>
      </c>
      <c r="Z13" s="188">
        <v>2938</v>
      </c>
      <c r="AA13" s="188">
        <v>2938</v>
      </c>
      <c r="AB13" s="188">
        <v>0</v>
      </c>
      <c r="AC13" s="188">
        <v>676566</v>
      </c>
      <c r="AD13" s="188">
        <v>2358</v>
      </c>
      <c r="AE13" s="190">
        <v>678924</v>
      </c>
    </row>
    <row r="14" spans="1:52" ht="15" customHeight="1">
      <c r="A14" s="187" t="s">
        <v>130</v>
      </c>
      <c r="B14" s="188">
        <v>76</v>
      </c>
      <c r="C14" s="188">
        <v>1</v>
      </c>
      <c r="D14" s="188">
        <v>0</v>
      </c>
      <c r="E14" s="188">
        <v>563</v>
      </c>
      <c r="F14" s="188">
        <v>1</v>
      </c>
      <c r="G14" s="188">
        <v>1</v>
      </c>
      <c r="H14" s="188">
        <v>639</v>
      </c>
      <c r="I14" s="188">
        <v>2</v>
      </c>
      <c r="J14" s="188">
        <v>1</v>
      </c>
      <c r="K14" s="188">
        <v>199</v>
      </c>
      <c r="L14" s="188">
        <v>1292</v>
      </c>
      <c r="M14" s="188">
        <v>1491</v>
      </c>
      <c r="N14" s="188">
        <v>2</v>
      </c>
      <c r="O14" s="188">
        <v>1</v>
      </c>
      <c r="P14" s="188">
        <v>3</v>
      </c>
      <c r="Q14" s="188">
        <v>1</v>
      </c>
      <c r="R14" s="188">
        <v>5</v>
      </c>
      <c r="S14" s="188">
        <v>2</v>
      </c>
      <c r="T14" s="188">
        <v>0</v>
      </c>
      <c r="U14" s="188">
        <v>1</v>
      </c>
      <c r="V14" s="188">
        <v>1</v>
      </c>
      <c r="W14" s="189" t="s">
        <v>125</v>
      </c>
      <c r="X14" s="189" t="s">
        <v>125</v>
      </c>
      <c r="Y14" s="189" t="s">
        <v>125</v>
      </c>
      <c r="Z14" s="188">
        <v>716</v>
      </c>
      <c r="AA14" s="188">
        <v>716</v>
      </c>
      <c r="AB14" s="188">
        <v>0</v>
      </c>
      <c r="AC14" s="188">
        <v>190893</v>
      </c>
      <c r="AD14" s="188">
        <v>194</v>
      </c>
      <c r="AE14" s="190">
        <v>191087</v>
      </c>
    </row>
    <row r="15" spans="1:52" ht="15" customHeight="1">
      <c r="A15" s="187" t="s">
        <v>131</v>
      </c>
      <c r="B15" s="188">
        <v>3881</v>
      </c>
      <c r="C15" s="188">
        <v>98</v>
      </c>
      <c r="D15" s="188">
        <v>2</v>
      </c>
      <c r="E15" s="188">
        <v>27793</v>
      </c>
      <c r="F15" s="188">
        <v>395</v>
      </c>
      <c r="G15" s="188">
        <v>138</v>
      </c>
      <c r="H15" s="188">
        <v>31674</v>
      </c>
      <c r="I15" s="188">
        <v>493</v>
      </c>
      <c r="J15" s="188">
        <v>140</v>
      </c>
      <c r="K15" s="188">
        <v>8966</v>
      </c>
      <c r="L15" s="188">
        <v>53972</v>
      </c>
      <c r="M15" s="188">
        <v>62938</v>
      </c>
      <c r="N15" s="188">
        <v>231</v>
      </c>
      <c r="O15" s="188">
        <v>137</v>
      </c>
      <c r="P15" s="188">
        <v>981</v>
      </c>
      <c r="Q15" s="188">
        <v>536</v>
      </c>
      <c r="R15" s="188">
        <v>1212</v>
      </c>
      <c r="S15" s="188">
        <v>673</v>
      </c>
      <c r="T15" s="188">
        <v>2</v>
      </c>
      <c r="U15" s="188">
        <v>182</v>
      </c>
      <c r="V15" s="188">
        <v>184</v>
      </c>
      <c r="W15" s="189" t="s">
        <v>125</v>
      </c>
      <c r="X15" s="189" t="s">
        <v>125</v>
      </c>
      <c r="Y15" s="189" t="s">
        <v>125</v>
      </c>
      <c r="Z15" s="188">
        <v>37443</v>
      </c>
      <c r="AA15" s="188">
        <v>37443</v>
      </c>
      <c r="AB15" s="188">
        <v>0</v>
      </c>
      <c r="AC15" s="188">
        <v>9131377</v>
      </c>
      <c r="AD15" s="188">
        <v>87370</v>
      </c>
      <c r="AE15" s="190">
        <v>9218747</v>
      </c>
    </row>
    <row r="16" spans="1:52" s="191" customFormat="1" ht="15" customHeight="1">
      <c r="A16" s="187" t="s">
        <v>132</v>
      </c>
      <c r="B16" s="188">
        <v>392</v>
      </c>
      <c r="C16" s="188">
        <v>0</v>
      </c>
      <c r="D16" s="188">
        <v>0</v>
      </c>
      <c r="E16" s="188">
        <v>2159</v>
      </c>
      <c r="F16" s="188">
        <v>2</v>
      </c>
      <c r="G16" s="188">
        <v>0</v>
      </c>
      <c r="H16" s="188">
        <v>2551</v>
      </c>
      <c r="I16" s="188">
        <v>2</v>
      </c>
      <c r="J16" s="188">
        <v>0</v>
      </c>
      <c r="K16" s="188">
        <v>1149</v>
      </c>
      <c r="L16" s="188">
        <v>4101</v>
      </c>
      <c r="M16" s="188">
        <v>5250</v>
      </c>
      <c r="N16" s="188">
        <v>0</v>
      </c>
      <c r="O16" s="188">
        <v>0</v>
      </c>
      <c r="P16" s="188">
        <v>3</v>
      </c>
      <c r="Q16" s="188">
        <v>2</v>
      </c>
      <c r="R16" s="188">
        <v>3</v>
      </c>
      <c r="S16" s="188">
        <v>2</v>
      </c>
      <c r="T16" s="188">
        <v>0</v>
      </c>
      <c r="U16" s="188">
        <v>0</v>
      </c>
      <c r="V16" s="188">
        <v>0</v>
      </c>
      <c r="W16" s="189" t="s">
        <v>125</v>
      </c>
      <c r="X16" s="189" t="s">
        <v>125</v>
      </c>
      <c r="Y16" s="189" t="s">
        <v>125</v>
      </c>
      <c r="Z16" s="188">
        <v>2698</v>
      </c>
      <c r="AA16" s="188">
        <v>2698</v>
      </c>
      <c r="AB16" s="188">
        <v>0</v>
      </c>
      <c r="AC16" s="188">
        <v>695178</v>
      </c>
      <c r="AD16" s="188">
        <v>134</v>
      </c>
      <c r="AE16" s="190">
        <v>695312</v>
      </c>
      <c r="AY16" s="192"/>
      <c r="AZ16" s="192"/>
    </row>
    <row r="17" spans="1:52" s="191" customFormat="1" ht="15" customHeight="1">
      <c r="A17" s="187" t="s">
        <v>133</v>
      </c>
      <c r="B17" s="188">
        <v>527</v>
      </c>
      <c r="C17" s="188">
        <v>2</v>
      </c>
      <c r="D17" s="188">
        <v>0</v>
      </c>
      <c r="E17" s="188">
        <v>6446</v>
      </c>
      <c r="F17" s="188">
        <v>30</v>
      </c>
      <c r="G17" s="188">
        <v>10</v>
      </c>
      <c r="H17" s="188">
        <v>6973</v>
      </c>
      <c r="I17" s="188">
        <v>32</v>
      </c>
      <c r="J17" s="188">
        <v>10</v>
      </c>
      <c r="K17" s="188">
        <v>1288</v>
      </c>
      <c r="L17" s="188">
        <v>11044</v>
      </c>
      <c r="M17" s="188">
        <v>12332</v>
      </c>
      <c r="N17" s="188">
        <v>5</v>
      </c>
      <c r="O17" s="188">
        <v>2</v>
      </c>
      <c r="P17" s="188">
        <v>87</v>
      </c>
      <c r="Q17" s="188">
        <v>35</v>
      </c>
      <c r="R17" s="188">
        <v>92</v>
      </c>
      <c r="S17" s="188">
        <v>37</v>
      </c>
      <c r="T17" s="188">
        <v>0</v>
      </c>
      <c r="U17" s="188">
        <v>13</v>
      </c>
      <c r="V17" s="188">
        <v>13</v>
      </c>
      <c r="W17" s="189" t="s">
        <v>125</v>
      </c>
      <c r="X17" s="189" t="s">
        <v>125</v>
      </c>
      <c r="Y17" s="189" t="s">
        <v>125</v>
      </c>
      <c r="Z17" s="188">
        <v>7366</v>
      </c>
      <c r="AA17" s="188">
        <v>7366</v>
      </c>
      <c r="AB17" s="188">
        <v>0</v>
      </c>
      <c r="AC17" s="188">
        <v>1671894</v>
      </c>
      <c r="AD17" s="188">
        <v>4911</v>
      </c>
      <c r="AE17" s="190">
        <v>1676805</v>
      </c>
      <c r="AY17" s="192"/>
      <c r="AZ17" s="192"/>
    </row>
    <row r="18" spans="1:52" s="191" customFormat="1" ht="15" customHeight="1">
      <c r="A18" s="187" t="s">
        <v>134</v>
      </c>
      <c r="B18" s="188">
        <v>12143</v>
      </c>
      <c r="C18" s="188">
        <v>200</v>
      </c>
      <c r="D18" s="188">
        <v>17</v>
      </c>
      <c r="E18" s="188">
        <v>78136</v>
      </c>
      <c r="F18" s="188">
        <v>662</v>
      </c>
      <c r="G18" s="188">
        <v>205</v>
      </c>
      <c r="H18" s="188">
        <v>90279</v>
      </c>
      <c r="I18" s="188">
        <v>862</v>
      </c>
      <c r="J18" s="188">
        <v>222</v>
      </c>
      <c r="K18" s="188">
        <v>32939</v>
      </c>
      <c r="L18" s="188">
        <v>176255</v>
      </c>
      <c r="M18" s="188">
        <v>209194</v>
      </c>
      <c r="N18" s="188">
        <v>500</v>
      </c>
      <c r="O18" s="188">
        <v>239</v>
      </c>
      <c r="P18" s="188">
        <v>1803</v>
      </c>
      <c r="Q18" s="188">
        <v>761</v>
      </c>
      <c r="R18" s="188">
        <v>2303</v>
      </c>
      <c r="S18" s="188">
        <v>1000</v>
      </c>
      <c r="T18" s="188">
        <v>28</v>
      </c>
      <c r="U18" s="188">
        <v>256</v>
      </c>
      <c r="V18" s="188">
        <v>284</v>
      </c>
      <c r="W18" s="189" t="s">
        <v>125</v>
      </c>
      <c r="X18" s="189" t="s">
        <v>125</v>
      </c>
      <c r="Y18" s="189" t="s">
        <v>125</v>
      </c>
      <c r="Z18" s="188">
        <v>104678</v>
      </c>
      <c r="AA18" s="188">
        <v>104678</v>
      </c>
      <c r="AB18" s="188">
        <v>0</v>
      </c>
      <c r="AC18" s="188">
        <v>31182466</v>
      </c>
      <c r="AD18" s="188">
        <v>171620</v>
      </c>
      <c r="AE18" s="190">
        <v>31354086</v>
      </c>
      <c r="AY18" s="192"/>
      <c r="AZ18" s="192"/>
    </row>
    <row r="19" spans="1:52" s="191" customFormat="1" ht="15" customHeight="1">
      <c r="A19" s="187" t="s">
        <v>135</v>
      </c>
      <c r="B19" s="188">
        <v>220</v>
      </c>
      <c r="C19" s="188">
        <v>1</v>
      </c>
      <c r="D19" s="188">
        <v>0</v>
      </c>
      <c r="E19" s="188">
        <v>1302</v>
      </c>
      <c r="F19" s="188">
        <v>8</v>
      </c>
      <c r="G19" s="188">
        <v>0</v>
      </c>
      <c r="H19" s="188">
        <v>1522</v>
      </c>
      <c r="I19" s="188">
        <v>9</v>
      </c>
      <c r="J19" s="188">
        <v>0</v>
      </c>
      <c r="K19" s="188">
        <v>584</v>
      </c>
      <c r="L19" s="188">
        <v>2914</v>
      </c>
      <c r="M19" s="188">
        <v>3498</v>
      </c>
      <c r="N19" s="188">
        <v>2</v>
      </c>
      <c r="O19" s="188">
        <v>1</v>
      </c>
      <c r="P19" s="188">
        <v>20</v>
      </c>
      <c r="Q19" s="188">
        <v>6</v>
      </c>
      <c r="R19" s="188">
        <v>22</v>
      </c>
      <c r="S19" s="188">
        <v>7</v>
      </c>
      <c r="T19" s="188">
        <v>0</v>
      </c>
      <c r="U19" s="188">
        <v>0</v>
      </c>
      <c r="V19" s="188">
        <v>0</v>
      </c>
      <c r="W19" s="189" t="s">
        <v>125</v>
      </c>
      <c r="X19" s="189" t="s">
        <v>125</v>
      </c>
      <c r="Y19" s="189" t="s">
        <v>125</v>
      </c>
      <c r="Z19" s="188">
        <v>1625</v>
      </c>
      <c r="AA19" s="188">
        <v>1625</v>
      </c>
      <c r="AB19" s="188">
        <v>0</v>
      </c>
      <c r="AC19" s="188">
        <v>427312</v>
      </c>
      <c r="AD19" s="188">
        <v>465</v>
      </c>
      <c r="AE19" s="190">
        <v>427777</v>
      </c>
      <c r="AY19" s="192"/>
      <c r="AZ19" s="192"/>
    </row>
    <row r="20" spans="1:52" s="191" customFormat="1" ht="15" customHeight="1">
      <c r="A20" s="187" t="s">
        <v>136</v>
      </c>
      <c r="B20" s="188">
        <v>882</v>
      </c>
      <c r="C20" s="188">
        <v>1</v>
      </c>
      <c r="D20" s="188">
        <v>0</v>
      </c>
      <c r="E20" s="188">
        <v>11553</v>
      </c>
      <c r="F20" s="188">
        <v>27</v>
      </c>
      <c r="G20" s="188">
        <v>5</v>
      </c>
      <c r="H20" s="188">
        <v>12435</v>
      </c>
      <c r="I20" s="188">
        <v>28</v>
      </c>
      <c r="J20" s="188">
        <v>5</v>
      </c>
      <c r="K20" s="188">
        <v>2191</v>
      </c>
      <c r="L20" s="188">
        <v>18618</v>
      </c>
      <c r="M20" s="188">
        <v>20809</v>
      </c>
      <c r="N20" s="188">
        <v>1</v>
      </c>
      <c r="O20" s="188">
        <v>2</v>
      </c>
      <c r="P20" s="188">
        <v>60</v>
      </c>
      <c r="Q20" s="188">
        <v>32</v>
      </c>
      <c r="R20" s="188">
        <v>61</v>
      </c>
      <c r="S20" s="188">
        <v>34</v>
      </c>
      <c r="T20" s="188">
        <v>0</v>
      </c>
      <c r="U20" s="188">
        <v>7</v>
      </c>
      <c r="V20" s="188">
        <v>7</v>
      </c>
      <c r="W20" s="189" t="s">
        <v>125</v>
      </c>
      <c r="X20" s="189" t="s">
        <v>125</v>
      </c>
      <c r="Y20" s="189" t="s">
        <v>125</v>
      </c>
      <c r="Z20" s="188">
        <v>13157</v>
      </c>
      <c r="AA20" s="188">
        <v>13157</v>
      </c>
      <c r="AB20" s="188">
        <v>0</v>
      </c>
      <c r="AC20" s="188">
        <v>2940242</v>
      </c>
      <c r="AD20" s="188">
        <v>5663</v>
      </c>
      <c r="AE20" s="190">
        <v>2945905</v>
      </c>
      <c r="AY20" s="192"/>
      <c r="AZ20" s="192"/>
    </row>
    <row r="21" spans="1:52" s="191" customFormat="1" ht="15" customHeight="1">
      <c r="A21" s="187" t="s">
        <v>137</v>
      </c>
      <c r="B21" s="188">
        <v>2324</v>
      </c>
      <c r="C21" s="188">
        <v>33</v>
      </c>
      <c r="D21" s="188">
        <v>4</v>
      </c>
      <c r="E21" s="188">
        <v>14843</v>
      </c>
      <c r="F21" s="188">
        <v>330</v>
      </c>
      <c r="G21" s="188">
        <v>51</v>
      </c>
      <c r="H21" s="188">
        <v>17167</v>
      </c>
      <c r="I21" s="188">
        <v>363</v>
      </c>
      <c r="J21" s="188">
        <v>55</v>
      </c>
      <c r="K21" s="188">
        <v>6554</v>
      </c>
      <c r="L21" s="188">
        <v>34697</v>
      </c>
      <c r="M21" s="188">
        <v>41251</v>
      </c>
      <c r="N21" s="188">
        <v>91</v>
      </c>
      <c r="O21" s="188">
        <v>33</v>
      </c>
      <c r="P21" s="188">
        <v>901</v>
      </c>
      <c r="Q21" s="188">
        <v>365</v>
      </c>
      <c r="R21" s="188">
        <v>992</v>
      </c>
      <c r="S21" s="188">
        <v>398</v>
      </c>
      <c r="T21" s="188">
        <v>5</v>
      </c>
      <c r="U21" s="188">
        <v>59</v>
      </c>
      <c r="V21" s="188">
        <v>64</v>
      </c>
      <c r="W21" s="189" t="s">
        <v>125</v>
      </c>
      <c r="X21" s="189" t="s">
        <v>125</v>
      </c>
      <c r="Y21" s="189" t="s">
        <v>125</v>
      </c>
      <c r="Z21" s="188">
        <v>18269</v>
      </c>
      <c r="AA21" s="188">
        <v>18269</v>
      </c>
      <c r="AB21" s="188">
        <v>0</v>
      </c>
      <c r="AC21" s="188">
        <v>5373107</v>
      </c>
      <c r="AD21" s="188">
        <v>45384</v>
      </c>
      <c r="AE21" s="190">
        <v>5418491</v>
      </c>
      <c r="AY21" s="192"/>
      <c r="AZ21" s="192"/>
    </row>
    <row r="22" spans="1:52" s="191" customFormat="1" ht="15" customHeight="1">
      <c r="A22" s="187" t="s">
        <v>138</v>
      </c>
      <c r="B22" s="188">
        <v>97</v>
      </c>
      <c r="C22" s="188">
        <v>0</v>
      </c>
      <c r="D22" s="188">
        <v>0</v>
      </c>
      <c r="E22" s="188">
        <v>919</v>
      </c>
      <c r="F22" s="188">
        <v>6</v>
      </c>
      <c r="G22" s="188">
        <v>2</v>
      </c>
      <c r="H22" s="188">
        <v>1016</v>
      </c>
      <c r="I22" s="188">
        <v>6</v>
      </c>
      <c r="J22" s="188">
        <v>2</v>
      </c>
      <c r="K22" s="188">
        <v>262</v>
      </c>
      <c r="L22" s="188">
        <v>1670</v>
      </c>
      <c r="M22" s="188">
        <v>1932</v>
      </c>
      <c r="N22" s="188">
        <v>0</v>
      </c>
      <c r="O22" s="188">
        <v>0</v>
      </c>
      <c r="P22" s="188">
        <v>11</v>
      </c>
      <c r="Q22" s="188">
        <v>7</v>
      </c>
      <c r="R22" s="188">
        <v>11</v>
      </c>
      <c r="S22" s="188">
        <v>7</v>
      </c>
      <c r="T22" s="188">
        <v>0</v>
      </c>
      <c r="U22" s="188">
        <v>2</v>
      </c>
      <c r="V22" s="188">
        <v>2</v>
      </c>
      <c r="W22" s="189" t="s">
        <v>125</v>
      </c>
      <c r="X22" s="189" t="s">
        <v>125</v>
      </c>
      <c r="Y22" s="189" t="s">
        <v>125</v>
      </c>
      <c r="Z22" s="188">
        <v>1075</v>
      </c>
      <c r="AA22" s="188">
        <v>1075</v>
      </c>
      <c r="AB22" s="188">
        <v>0</v>
      </c>
      <c r="AC22" s="188">
        <v>246315</v>
      </c>
      <c r="AD22" s="188">
        <v>614</v>
      </c>
      <c r="AE22" s="190">
        <v>246929</v>
      </c>
      <c r="AY22" s="192"/>
      <c r="AZ22" s="192"/>
    </row>
    <row r="23" spans="1:52" s="191" customFormat="1" ht="15" customHeight="1">
      <c r="A23" s="187" t="s">
        <v>139</v>
      </c>
      <c r="B23" s="188">
        <v>9854</v>
      </c>
      <c r="C23" s="188">
        <v>56</v>
      </c>
      <c r="D23" s="188">
        <v>0</v>
      </c>
      <c r="E23" s="188">
        <v>59303</v>
      </c>
      <c r="F23" s="188">
        <v>457</v>
      </c>
      <c r="G23" s="188">
        <v>270</v>
      </c>
      <c r="H23" s="188">
        <v>69157</v>
      </c>
      <c r="I23" s="188">
        <v>513</v>
      </c>
      <c r="J23" s="188">
        <v>270</v>
      </c>
      <c r="K23" s="188">
        <v>26447</v>
      </c>
      <c r="L23" s="188">
        <v>134011</v>
      </c>
      <c r="M23" s="188">
        <v>160458</v>
      </c>
      <c r="N23" s="188">
        <v>138</v>
      </c>
      <c r="O23" s="188">
        <v>63</v>
      </c>
      <c r="P23" s="188">
        <v>1257</v>
      </c>
      <c r="Q23" s="188">
        <v>512</v>
      </c>
      <c r="R23" s="188">
        <v>1395</v>
      </c>
      <c r="S23" s="188">
        <v>575</v>
      </c>
      <c r="T23" s="188">
        <v>0</v>
      </c>
      <c r="U23" s="188">
        <v>405</v>
      </c>
      <c r="V23" s="188">
        <v>405</v>
      </c>
      <c r="W23" s="189" t="s">
        <v>125</v>
      </c>
      <c r="X23" s="189" t="s">
        <v>125</v>
      </c>
      <c r="Y23" s="189" t="s">
        <v>125</v>
      </c>
      <c r="Z23" s="188">
        <v>74026</v>
      </c>
      <c r="AA23" s="188">
        <v>74026</v>
      </c>
      <c r="AB23" s="188">
        <v>0</v>
      </c>
      <c r="AC23" s="188">
        <v>21696840</v>
      </c>
      <c r="AD23" s="188">
        <v>131050</v>
      </c>
      <c r="AE23" s="190">
        <v>21827890</v>
      </c>
      <c r="AY23" s="192"/>
      <c r="AZ23" s="192"/>
    </row>
    <row r="24" spans="1:52" s="191" customFormat="1" ht="15" customHeight="1">
      <c r="A24" s="187" t="s">
        <v>140</v>
      </c>
      <c r="B24" s="188">
        <v>1456</v>
      </c>
      <c r="C24" s="188">
        <v>18</v>
      </c>
      <c r="D24" s="188">
        <v>2</v>
      </c>
      <c r="E24" s="188">
        <v>9085</v>
      </c>
      <c r="F24" s="188">
        <v>112</v>
      </c>
      <c r="G24" s="188">
        <v>24</v>
      </c>
      <c r="H24" s="188">
        <v>10541</v>
      </c>
      <c r="I24" s="188">
        <v>130</v>
      </c>
      <c r="J24" s="188">
        <v>26</v>
      </c>
      <c r="K24" s="188">
        <v>3963</v>
      </c>
      <c r="L24" s="188">
        <v>19817</v>
      </c>
      <c r="M24" s="188">
        <v>23780</v>
      </c>
      <c r="N24" s="188">
        <v>45</v>
      </c>
      <c r="O24" s="188">
        <v>18</v>
      </c>
      <c r="P24" s="188">
        <v>336</v>
      </c>
      <c r="Q24" s="188">
        <v>117</v>
      </c>
      <c r="R24" s="188">
        <v>381</v>
      </c>
      <c r="S24" s="188">
        <v>135</v>
      </c>
      <c r="T24" s="188">
        <v>2</v>
      </c>
      <c r="U24" s="188">
        <v>29</v>
      </c>
      <c r="V24" s="188">
        <v>31</v>
      </c>
      <c r="W24" s="189" t="s">
        <v>125</v>
      </c>
      <c r="X24" s="189" t="s">
        <v>125</v>
      </c>
      <c r="Y24" s="189" t="s">
        <v>125</v>
      </c>
      <c r="Z24" s="188">
        <v>11282</v>
      </c>
      <c r="AA24" s="188">
        <v>11282</v>
      </c>
      <c r="AB24" s="188">
        <v>0</v>
      </c>
      <c r="AC24" s="188">
        <v>3104305</v>
      </c>
      <c r="AD24" s="188">
        <v>18539</v>
      </c>
      <c r="AE24" s="190">
        <v>3122844</v>
      </c>
      <c r="AY24" s="192"/>
      <c r="AZ24" s="192"/>
    </row>
    <row r="25" spans="1:52" s="191" customFormat="1" ht="15" customHeight="1">
      <c r="A25" s="187" t="s">
        <v>141</v>
      </c>
      <c r="B25" s="188">
        <v>573</v>
      </c>
      <c r="C25" s="188">
        <v>4</v>
      </c>
      <c r="D25" s="188">
        <v>0</v>
      </c>
      <c r="E25" s="188">
        <v>5900</v>
      </c>
      <c r="F25" s="188">
        <v>22</v>
      </c>
      <c r="G25" s="188">
        <v>6</v>
      </c>
      <c r="H25" s="188">
        <v>6473</v>
      </c>
      <c r="I25" s="188">
        <v>26</v>
      </c>
      <c r="J25" s="188">
        <v>6</v>
      </c>
      <c r="K25" s="188">
        <v>1465</v>
      </c>
      <c r="L25" s="188">
        <v>10762</v>
      </c>
      <c r="M25" s="188">
        <v>12227</v>
      </c>
      <c r="N25" s="188">
        <v>13</v>
      </c>
      <c r="O25" s="188">
        <v>4</v>
      </c>
      <c r="P25" s="188">
        <v>53</v>
      </c>
      <c r="Q25" s="188">
        <v>25</v>
      </c>
      <c r="R25" s="188">
        <v>66</v>
      </c>
      <c r="S25" s="188">
        <v>29</v>
      </c>
      <c r="T25" s="188">
        <v>0</v>
      </c>
      <c r="U25" s="188">
        <v>7</v>
      </c>
      <c r="V25" s="188">
        <v>7</v>
      </c>
      <c r="W25" s="189" t="s">
        <v>125</v>
      </c>
      <c r="X25" s="189" t="s">
        <v>125</v>
      </c>
      <c r="Y25" s="189" t="s">
        <v>125</v>
      </c>
      <c r="Z25" s="188">
        <v>6869</v>
      </c>
      <c r="AA25" s="188">
        <v>6869</v>
      </c>
      <c r="AB25" s="188">
        <v>0</v>
      </c>
      <c r="AC25" s="188">
        <v>1649537</v>
      </c>
      <c r="AD25" s="188">
        <v>3056</v>
      </c>
      <c r="AE25" s="190">
        <v>1652593</v>
      </c>
      <c r="AY25" s="192"/>
      <c r="AZ25" s="192"/>
    </row>
    <row r="26" spans="1:52" s="191" customFormat="1" ht="15" customHeight="1">
      <c r="A26" s="187" t="s">
        <v>142</v>
      </c>
      <c r="B26" s="188">
        <v>232</v>
      </c>
      <c r="C26" s="188">
        <v>0</v>
      </c>
      <c r="D26" s="188">
        <v>0</v>
      </c>
      <c r="E26" s="188">
        <v>1376</v>
      </c>
      <c r="F26" s="188">
        <v>2</v>
      </c>
      <c r="G26" s="188">
        <v>0</v>
      </c>
      <c r="H26" s="188">
        <v>1608</v>
      </c>
      <c r="I26" s="188">
        <v>2</v>
      </c>
      <c r="J26" s="188">
        <v>0</v>
      </c>
      <c r="K26" s="188">
        <v>634</v>
      </c>
      <c r="L26" s="188">
        <v>2516</v>
      </c>
      <c r="M26" s="188">
        <v>3150</v>
      </c>
      <c r="N26" s="188">
        <v>0</v>
      </c>
      <c r="O26" s="188">
        <v>0</v>
      </c>
      <c r="P26" s="188">
        <v>5</v>
      </c>
      <c r="Q26" s="188">
        <v>3</v>
      </c>
      <c r="R26" s="188">
        <v>5</v>
      </c>
      <c r="S26" s="188">
        <v>3</v>
      </c>
      <c r="T26" s="188">
        <v>0</v>
      </c>
      <c r="U26" s="188">
        <v>0</v>
      </c>
      <c r="V26" s="188">
        <v>0</v>
      </c>
      <c r="W26" s="189" t="s">
        <v>125</v>
      </c>
      <c r="X26" s="189" t="s">
        <v>125</v>
      </c>
      <c r="Y26" s="189" t="s">
        <v>125</v>
      </c>
      <c r="Z26" s="188">
        <v>1706</v>
      </c>
      <c r="AA26" s="188">
        <v>1706</v>
      </c>
      <c r="AB26" s="188">
        <v>0</v>
      </c>
      <c r="AC26" s="188">
        <v>442617</v>
      </c>
      <c r="AD26" s="188">
        <v>268</v>
      </c>
      <c r="AE26" s="190">
        <v>442885</v>
      </c>
      <c r="AY26" s="192"/>
      <c r="AZ26" s="192"/>
    </row>
    <row r="27" spans="1:52" s="191" customFormat="1" ht="15" customHeight="1">
      <c r="A27" s="187" t="s">
        <v>143</v>
      </c>
      <c r="B27" s="188">
        <v>85978</v>
      </c>
      <c r="C27" s="188">
        <v>2278</v>
      </c>
      <c r="D27" s="188">
        <v>254</v>
      </c>
      <c r="E27" s="188">
        <v>448972</v>
      </c>
      <c r="F27" s="188">
        <v>5337</v>
      </c>
      <c r="G27" s="188">
        <v>3248</v>
      </c>
      <c r="H27" s="188">
        <v>534950</v>
      </c>
      <c r="I27" s="188">
        <v>7615</v>
      </c>
      <c r="J27" s="188">
        <v>3502</v>
      </c>
      <c r="K27" s="188">
        <v>209886</v>
      </c>
      <c r="L27" s="188">
        <v>861306</v>
      </c>
      <c r="M27" s="188">
        <v>1071192</v>
      </c>
      <c r="N27" s="188">
        <v>4773</v>
      </c>
      <c r="O27" s="188">
        <v>3109</v>
      </c>
      <c r="P27" s="188">
        <v>12277</v>
      </c>
      <c r="Q27" s="188">
        <v>6581</v>
      </c>
      <c r="R27" s="188">
        <v>17050</v>
      </c>
      <c r="S27" s="188">
        <v>9690</v>
      </c>
      <c r="T27" s="188">
        <v>308</v>
      </c>
      <c r="U27" s="188">
        <v>4158</v>
      </c>
      <c r="V27" s="188">
        <v>4466</v>
      </c>
      <c r="W27" s="189" t="s">
        <v>125</v>
      </c>
      <c r="X27" s="189" t="s">
        <v>125</v>
      </c>
      <c r="Y27" s="189" t="s">
        <v>125</v>
      </c>
      <c r="Z27" s="188">
        <v>579438</v>
      </c>
      <c r="AA27" s="188">
        <v>579438</v>
      </c>
      <c r="AB27" s="188">
        <v>0</v>
      </c>
      <c r="AC27" s="188">
        <v>159270810</v>
      </c>
      <c r="AD27" s="188">
        <v>1807012</v>
      </c>
      <c r="AE27" s="190">
        <v>161077822</v>
      </c>
      <c r="AY27" s="192"/>
      <c r="AZ27" s="192"/>
    </row>
    <row r="28" spans="1:52" s="191" customFormat="1" ht="15" customHeight="1">
      <c r="A28" s="187" t="s">
        <v>144</v>
      </c>
      <c r="B28" s="188">
        <v>1699</v>
      </c>
      <c r="C28" s="188">
        <v>11</v>
      </c>
      <c r="D28" s="188">
        <v>1</v>
      </c>
      <c r="E28" s="188">
        <v>10032</v>
      </c>
      <c r="F28" s="188">
        <v>60</v>
      </c>
      <c r="G28" s="188">
        <v>7</v>
      </c>
      <c r="H28" s="188">
        <v>11731</v>
      </c>
      <c r="I28" s="188">
        <v>71</v>
      </c>
      <c r="J28" s="188">
        <v>8</v>
      </c>
      <c r="K28" s="188">
        <v>4638</v>
      </c>
      <c r="L28" s="188">
        <v>23799</v>
      </c>
      <c r="M28" s="188">
        <v>28437</v>
      </c>
      <c r="N28" s="188">
        <v>31</v>
      </c>
      <c r="O28" s="188">
        <v>11</v>
      </c>
      <c r="P28" s="188">
        <v>182</v>
      </c>
      <c r="Q28" s="188">
        <v>65</v>
      </c>
      <c r="R28" s="188">
        <v>213</v>
      </c>
      <c r="S28" s="188">
        <v>76</v>
      </c>
      <c r="T28" s="188">
        <v>1</v>
      </c>
      <c r="U28" s="188">
        <v>13</v>
      </c>
      <c r="V28" s="188">
        <v>14</v>
      </c>
      <c r="W28" s="189" t="s">
        <v>125</v>
      </c>
      <c r="X28" s="189" t="s">
        <v>125</v>
      </c>
      <c r="Y28" s="189" t="s">
        <v>125</v>
      </c>
      <c r="Z28" s="188">
        <v>8953</v>
      </c>
      <c r="AA28" s="188">
        <v>8953</v>
      </c>
      <c r="AB28" s="188">
        <v>0</v>
      </c>
      <c r="AC28" s="188">
        <v>3776342</v>
      </c>
      <c r="AD28" s="188">
        <v>7981</v>
      </c>
      <c r="AE28" s="190">
        <v>3784323</v>
      </c>
      <c r="AY28" s="192"/>
      <c r="AZ28" s="192"/>
    </row>
    <row r="29" spans="1:52" s="191" customFormat="1" ht="15" customHeight="1">
      <c r="A29" s="187" t="s">
        <v>145</v>
      </c>
      <c r="B29" s="188">
        <v>529</v>
      </c>
      <c r="C29" s="188">
        <v>35</v>
      </c>
      <c r="D29" s="188">
        <v>3</v>
      </c>
      <c r="E29" s="188">
        <v>5320</v>
      </c>
      <c r="F29" s="188">
        <v>227</v>
      </c>
      <c r="G29" s="188">
        <v>67</v>
      </c>
      <c r="H29" s="188">
        <v>5849</v>
      </c>
      <c r="I29" s="188">
        <v>262</v>
      </c>
      <c r="J29" s="188">
        <v>70</v>
      </c>
      <c r="K29" s="188">
        <v>1140</v>
      </c>
      <c r="L29" s="188">
        <v>8159</v>
      </c>
      <c r="M29" s="188">
        <v>9299</v>
      </c>
      <c r="N29" s="188">
        <v>68</v>
      </c>
      <c r="O29" s="188">
        <v>39</v>
      </c>
      <c r="P29" s="188">
        <v>459</v>
      </c>
      <c r="Q29" s="188">
        <v>270</v>
      </c>
      <c r="R29" s="188">
        <v>527</v>
      </c>
      <c r="S29" s="188">
        <v>309</v>
      </c>
      <c r="T29" s="188">
        <v>3</v>
      </c>
      <c r="U29" s="188">
        <v>81</v>
      </c>
      <c r="V29" s="188">
        <v>84</v>
      </c>
      <c r="W29" s="189" t="s">
        <v>125</v>
      </c>
      <c r="X29" s="189" t="s">
        <v>125</v>
      </c>
      <c r="Y29" s="189" t="s">
        <v>125</v>
      </c>
      <c r="Z29" s="188">
        <v>6394</v>
      </c>
      <c r="AA29" s="188">
        <v>6394</v>
      </c>
      <c r="AB29" s="188">
        <v>0</v>
      </c>
      <c r="AC29" s="188">
        <v>1392995</v>
      </c>
      <c r="AD29" s="188">
        <v>33335</v>
      </c>
      <c r="AE29" s="190">
        <v>1426330</v>
      </c>
      <c r="AY29" s="192"/>
      <c r="AZ29" s="192"/>
    </row>
    <row r="30" spans="1:52" s="191" customFormat="1" ht="15" customHeight="1">
      <c r="A30" s="187" t="s">
        <v>146</v>
      </c>
      <c r="B30" s="188">
        <v>84</v>
      </c>
      <c r="C30" s="188">
        <v>0</v>
      </c>
      <c r="D30" s="188">
        <v>1</v>
      </c>
      <c r="E30" s="188">
        <v>918</v>
      </c>
      <c r="F30" s="188">
        <v>3</v>
      </c>
      <c r="G30" s="188">
        <v>2</v>
      </c>
      <c r="H30" s="188">
        <v>1002</v>
      </c>
      <c r="I30" s="188">
        <v>3</v>
      </c>
      <c r="J30" s="188">
        <v>3</v>
      </c>
      <c r="K30" s="188">
        <v>224</v>
      </c>
      <c r="L30" s="188">
        <v>1609</v>
      </c>
      <c r="M30" s="188">
        <v>1833</v>
      </c>
      <c r="N30" s="188">
        <v>0</v>
      </c>
      <c r="O30" s="188">
        <v>0</v>
      </c>
      <c r="P30" s="188">
        <v>7</v>
      </c>
      <c r="Q30" s="188">
        <v>3</v>
      </c>
      <c r="R30" s="188">
        <v>7</v>
      </c>
      <c r="S30" s="188">
        <v>3</v>
      </c>
      <c r="T30" s="188">
        <v>1</v>
      </c>
      <c r="U30" s="188">
        <v>2</v>
      </c>
      <c r="V30" s="188">
        <v>3</v>
      </c>
      <c r="W30" s="189" t="s">
        <v>125</v>
      </c>
      <c r="X30" s="189" t="s">
        <v>125</v>
      </c>
      <c r="Y30" s="189" t="s">
        <v>125</v>
      </c>
      <c r="Z30" s="188">
        <v>1052</v>
      </c>
      <c r="AA30" s="188">
        <v>1052</v>
      </c>
      <c r="AB30" s="188">
        <v>0</v>
      </c>
      <c r="AC30" s="188">
        <v>247277</v>
      </c>
      <c r="AD30" s="188">
        <v>788</v>
      </c>
      <c r="AE30" s="190">
        <v>248065</v>
      </c>
      <c r="AY30" s="192"/>
      <c r="AZ30" s="192"/>
    </row>
    <row r="31" spans="1:52" s="191" customFormat="1" ht="15" customHeight="1">
      <c r="A31" s="187" t="s">
        <v>147</v>
      </c>
      <c r="B31" s="188">
        <v>549</v>
      </c>
      <c r="C31" s="188">
        <v>7</v>
      </c>
      <c r="D31" s="188">
        <v>1</v>
      </c>
      <c r="E31" s="188">
        <v>5802</v>
      </c>
      <c r="F31" s="188">
        <v>31</v>
      </c>
      <c r="G31" s="188">
        <v>8</v>
      </c>
      <c r="H31" s="188">
        <v>6351</v>
      </c>
      <c r="I31" s="188">
        <v>38</v>
      </c>
      <c r="J31" s="188">
        <v>9</v>
      </c>
      <c r="K31" s="188">
        <v>1399</v>
      </c>
      <c r="L31" s="188">
        <v>10453</v>
      </c>
      <c r="M31" s="188">
        <v>11852</v>
      </c>
      <c r="N31" s="188">
        <v>16</v>
      </c>
      <c r="O31" s="188">
        <v>7</v>
      </c>
      <c r="P31" s="188">
        <v>83</v>
      </c>
      <c r="Q31" s="188">
        <v>82</v>
      </c>
      <c r="R31" s="188">
        <v>99</v>
      </c>
      <c r="S31" s="188">
        <v>89</v>
      </c>
      <c r="T31" s="188">
        <v>1</v>
      </c>
      <c r="U31" s="188">
        <v>10</v>
      </c>
      <c r="V31" s="188">
        <v>11</v>
      </c>
      <c r="W31" s="189" t="s">
        <v>125</v>
      </c>
      <c r="X31" s="189" t="s">
        <v>125</v>
      </c>
      <c r="Y31" s="189" t="s">
        <v>125</v>
      </c>
      <c r="Z31" s="188">
        <v>6651</v>
      </c>
      <c r="AA31" s="188">
        <v>6651</v>
      </c>
      <c r="AB31" s="188">
        <v>0</v>
      </c>
      <c r="AC31" s="188">
        <v>1662538</v>
      </c>
      <c r="AD31" s="188">
        <v>5479</v>
      </c>
      <c r="AE31" s="190">
        <v>1668017</v>
      </c>
      <c r="AY31" s="192"/>
      <c r="AZ31" s="192"/>
    </row>
    <row r="32" spans="1:52" s="191" customFormat="1" ht="15" customHeight="1">
      <c r="A32" s="187" t="s">
        <v>148</v>
      </c>
      <c r="B32" s="188">
        <v>3610</v>
      </c>
      <c r="C32" s="188">
        <v>18</v>
      </c>
      <c r="D32" s="188">
        <v>1</v>
      </c>
      <c r="E32" s="188">
        <v>19948</v>
      </c>
      <c r="F32" s="188">
        <v>83</v>
      </c>
      <c r="G32" s="188">
        <v>14</v>
      </c>
      <c r="H32" s="188">
        <v>23558</v>
      </c>
      <c r="I32" s="188">
        <v>101</v>
      </c>
      <c r="J32" s="188">
        <v>15</v>
      </c>
      <c r="K32" s="188">
        <v>9653</v>
      </c>
      <c r="L32" s="188">
        <v>44886</v>
      </c>
      <c r="M32" s="188">
        <v>54539</v>
      </c>
      <c r="N32" s="188">
        <v>37</v>
      </c>
      <c r="O32" s="188">
        <v>18</v>
      </c>
      <c r="P32" s="188">
        <v>227</v>
      </c>
      <c r="Q32" s="188">
        <v>95</v>
      </c>
      <c r="R32" s="188">
        <v>264</v>
      </c>
      <c r="S32" s="188">
        <v>113</v>
      </c>
      <c r="T32" s="188">
        <v>1</v>
      </c>
      <c r="U32" s="188">
        <v>15</v>
      </c>
      <c r="V32" s="188">
        <v>16</v>
      </c>
      <c r="W32" s="189" t="s">
        <v>125</v>
      </c>
      <c r="X32" s="189" t="s">
        <v>125</v>
      </c>
      <c r="Y32" s="189" t="s">
        <v>125</v>
      </c>
      <c r="Z32" s="188">
        <v>24904</v>
      </c>
      <c r="AA32" s="188">
        <v>24904</v>
      </c>
      <c r="AB32" s="188">
        <v>0</v>
      </c>
      <c r="AC32" s="188">
        <v>7273616</v>
      </c>
      <c r="AD32" s="188">
        <v>12467</v>
      </c>
      <c r="AE32" s="190">
        <v>7286083</v>
      </c>
      <c r="AY32" s="192"/>
      <c r="AZ32" s="192"/>
    </row>
    <row r="33" spans="1:52" s="191" customFormat="1" ht="15" customHeight="1">
      <c r="A33" s="187" t="s">
        <v>149</v>
      </c>
      <c r="B33" s="188">
        <v>71</v>
      </c>
      <c r="C33" s="188">
        <v>1</v>
      </c>
      <c r="D33" s="188">
        <v>0</v>
      </c>
      <c r="E33" s="188">
        <v>462</v>
      </c>
      <c r="F33" s="188">
        <v>0</v>
      </c>
      <c r="G33" s="188">
        <v>1</v>
      </c>
      <c r="H33" s="188">
        <v>533</v>
      </c>
      <c r="I33" s="188">
        <v>1</v>
      </c>
      <c r="J33" s="188">
        <v>1</v>
      </c>
      <c r="K33" s="188">
        <v>196</v>
      </c>
      <c r="L33" s="188">
        <v>932</v>
      </c>
      <c r="M33" s="188">
        <v>1128</v>
      </c>
      <c r="N33" s="188">
        <v>1</v>
      </c>
      <c r="O33" s="188">
        <v>1</v>
      </c>
      <c r="P33" s="188">
        <v>0</v>
      </c>
      <c r="Q33" s="188">
        <v>0</v>
      </c>
      <c r="R33" s="188">
        <v>1</v>
      </c>
      <c r="S33" s="188">
        <v>1</v>
      </c>
      <c r="T33" s="188">
        <v>0</v>
      </c>
      <c r="U33" s="188">
        <v>2</v>
      </c>
      <c r="V33" s="188">
        <v>2</v>
      </c>
      <c r="W33" s="189" t="s">
        <v>125</v>
      </c>
      <c r="X33" s="189" t="s">
        <v>125</v>
      </c>
      <c r="Y33" s="189" t="s">
        <v>125</v>
      </c>
      <c r="Z33" s="188">
        <v>566</v>
      </c>
      <c r="AA33" s="188">
        <v>566</v>
      </c>
      <c r="AB33" s="188">
        <v>0</v>
      </c>
      <c r="AC33" s="188">
        <v>150459</v>
      </c>
      <c r="AD33" s="188">
        <v>293</v>
      </c>
      <c r="AE33" s="190">
        <v>150752</v>
      </c>
      <c r="AY33" s="192"/>
      <c r="AZ33" s="192"/>
    </row>
    <row r="34" spans="1:52" s="191" customFormat="1" ht="15" customHeight="1">
      <c r="A34" s="187" t="s">
        <v>150</v>
      </c>
      <c r="B34" s="188">
        <v>13</v>
      </c>
      <c r="C34" s="188">
        <v>0</v>
      </c>
      <c r="D34" s="188">
        <v>0</v>
      </c>
      <c r="E34" s="188">
        <v>457</v>
      </c>
      <c r="F34" s="188">
        <v>3</v>
      </c>
      <c r="G34" s="188">
        <v>0</v>
      </c>
      <c r="H34" s="188">
        <v>470</v>
      </c>
      <c r="I34" s="188">
        <v>3</v>
      </c>
      <c r="J34" s="188">
        <v>0</v>
      </c>
      <c r="K34" s="188">
        <v>31</v>
      </c>
      <c r="L34" s="188">
        <v>757</v>
      </c>
      <c r="M34" s="188">
        <v>788</v>
      </c>
      <c r="N34" s="188">
        <v>0</v>
      </c>
      <c r="O34" s="188">
        <v>0</v>
      </c>
      <c r="P34" s="188">
        <v>9</v>
      </c>
      <c r="Q34" s="188">
        <v>3</v>
      </c>
      <c r="R34" s="188">
        <v>9</v>
      </c>
      <c r="S34" s="188">
        <v>3</v>
      </c>
      <c r="T34" s="188">
        <v>0</v>
      </c>
      <c r="U34" s="188">
        <v>0</v>
      </c>
      <c r="V34" s="188">
        <v>0</v>
      </c>
      <c r="W34" s="189" t="s">
        <v>125</v>
      </c>
      <c r="X34" s="189" t="s">
        <v>125</v>
      </c>
      <c r="Y34" s="189" t="s">
        <v>125</v>
      </c>
      <c r="Z34" s="188">
        <v>510</v>
      </c>
      <c r="AA34" s="188">
        <v>510</v>
      </c>
      <c r="AB34" s="188">
        <v>0</v>
      </c>
      <c r="AC34" s="188">
        <v>113436</v>
      </c>
      <c r="AD34" s="188">
        <v>460</v>
      </c>
      <c r="AE34" s="190">
        <v>113896</v>
      </c>
      <c r="AY34" s="192"/>
      <c r="AZ34" s="192"/>
    </row>
    <row r="35" spans="1:52" s="191" customFormat="1" ht="15" customHeight="1">
      <c r="A35" s="187" t="s">
        <v>151</v>
      </c>
      <c r="B35" s="188">
        <v>2424</v>
      </c>
      <c r="C35" s="188">
        <v>22</v>
      </c>
      <c r="D35" s="188">
        <v>0</v>
      </c>
      <c r="E35" s="188">
        <v>19214</v>
      </c>
      <c r="F35" s="188">
        <v>234</v>
      </c>
      <c r="G35" s="188">
        <v>29</v>
      </c>
      <c r="H35" s="188">
        <v>21638</v>
      </c>
      <c r="I35" s="188">
        <v>256</v>
      </c>
      <c r="J35" s="188">
        <v>29</v>
      </c>
      <c r="K35" s="188">
        <v>6236</v>
      </c>
      <c r="L35" s="188">
        <v>41497</v>
      </c>
      <c r="M35" s="188">
        <v>47733</v>
      </c>
      <c r="N35" s="188">
        <v>60</v>
      </c>
      <c r="O35" s="188">
        <v>23</v>
      </c>
      <c r="P35" s="188">
        <v>649</v>
      </c>
      <c r="Q35" s="188">
        <v>274</v>
      </c>
      <c r="R35" s="188">
        <v>709</v>
      </c>
      <c r="S35" s="188">
        <v>297</v>
      </c>
      <c r="T35" s="188">
        <v>0</v>
      </c>
      <c r="U35" s="188">
        <v>39</v>
      </c>
      <c r="V35" s="188">
        <v>39</v>
      </c>
      <c r="W35" s="189" t="s">
        <v>125</v>
      </c>
      <c r="X35" s="189" t="s">
        <v>125</v>
      </c>
      <c r="Y35" s="189" t="s">
        <v>125</v>
      </c>
      <c r="Z35" s="188">
        <v>24612</v>
      </c>
      <c r="AA35" s="188">
        <v>24612</v>
      </c>
      <c r="AB35" s="188">
        <v>0</v>
      </c>
      <c r="AC35" s="188">
        <v>6569642</v>
      </c>
      <c r="AD35" s="188">
        <v>34301</v>
      </c>
      <c r="AE35" s="190">
        <v>6603943</v>
      </c>
      <c r="AY35" s="192"/>
      <c r="AZ35" s="192"/>
    </row>
    <row r="36" spans="1:52" s="191" customFormat="1" ht="15" customHeight="1">
      <c r="A36" s="187" t="s">
        <v>152</v>
      </c>
      <c r="B36" s="188">
        <v>297</v>
      </c>
      <c r="C36" s="188">
        <v>8</v>
      </c>
      <c r="D36" s="188">
        <v>0</v>
      </c>
      <c r="E36" s="188">
        <v>3016</v>
      </c>
      <c r="F36" s="188">
        <v>50</v>
      </c>
      <c r="G36" s="188">
        <v>5</v>
      </c>
      <c r="H36" s="188">
        <v>3313</v>
      </c>
      <c r="I36" s="188">
        <v>58</v>
      </c>
      <c r="J36" s="188">
        <v>5</v>
      </c>
      <c r="K36" s="188">
        <v>735</v>
      </c>
      <c r="L36" s="188">
        <v>5939</v>
      </c>
      <c r="M36" s="188">
        <v>6674</v>
      </c>
      <c r="N36" s="188">
        <v>21</v>
      </c>
      <c r="O36" s="188">
        <v>9</v>
      </c>
      <c r="P36" s="188">
        <v>139</v>
      </c>
      <c r="Q36" s="188">
        <v>56</v>
      </c>
      <c r="R36" s="188">
        <v>160</v>
      </c>
      <c r="S36" s="188">
        <v>65</v>
      </c>
      <c r="T36" s="188">
        <v>0</v>
      </c>
      <c r="U36" s="188">
        <v>5</v>
      </c>
      <c r="V36" s="188">
        <v>5</v>
      </c>
      <c r="W36" s="189" t="s">
        <v>125</v>
      </c>
      <c r="X36" s="189" t="s">
        <v>125</v>
      </c>
      <c r="Y36" s="189" t="s">
        <v>125</v>
      </c>
      <c r="Z36" s="188">
        <v>3575</v>
      </c>
      <c r="AA36" s="188">
        <v>3575</v>
      </c>
      <c r="AB36" s="188">
        <v>0</v>
      </c>
      <c r="AC36" s="188">
        <v>842035</v>
      </c>
      <c r="AD36" s="188">
        <v>6024</v>
      </c>
      <c r="AE36" s="190">
        <v>848059</v>
      </c>
      <c r="AY36" s="192"/>
      <c r="AZ36" s="192"/>
    </row>
    <row r="37" spans="1:52" s="191" customFormat="1" ht="15" customHeight="1">
      <c r="A37" s="187" t="s">
        <v>153</v>
      </c>
      <c r="B37" s="188">
        <v>241</v>
      </c>
      <c r="C37" s="188">
        <v>0</v>
      </c>
      <c r="D37" s="188">
        <v>0</v>
      </c>
      <c r="E37" s="188">
        <v>4016</v>
      </c>
      <c r="F37" s="188">
        <v>7</v>
      </c>
      <c r="G37" s="188">
        <v>2</v>
      </c>
      <c r="H37" s="188">
        <v>4257</v>
      </c>
      <c r="I37" s="188">
        <v>7</v>
      </c>
      <c r="J37" s="188">
        <v>2</v>
      </c>
      <c r="K37" s="188">
        <v>581</v>
      </c>
      <c r="L37" s="188">
        <v>6782</v>
      </c>
      <c r="M37" s="188">
        <v>7363</v>
      </c>
      <c r="N37" s="188">
        <v>0</v>
      </c>
      <c r="O37" s="188">
        <v>0</v>
      </c>
      <c r="P37" s="188">
        <v>19</v>
      </c>
      <c r="Q37" s="188">
        <v>8</v>
      </c>
      <c r="R37" s="188">
        <v>19</v>
      </c>
      <c r="S37" s="188">
        <v>8</v>
      </c>
      <c r="T37" s="188">
        <v>0</v>
      </c>
      <c r="U37" s="188">
        <v>2</v>
      </c>
      <c r="V37" s="188">
        <v>2</v>
      </c>
      <c r="W37" s="189" t="s">
        <v>125</v>
      </c>
      <c r="X37" s="189" t="s">
        <v>125</v>
      </c>
      <c r="Y37" s="189" t="s">
        <v>125</v>
      </c>
      <c r="Z37" s="188">
        <v>4472</v>
      </c>
      <c r="AA37" s="188">
        <v>4472</v>
      </c>
      <c r="AB37" s="188">
        <v>0</v>
      </c>
      <c r="AC37" s="188">
        <v>1004107</v>
      </c>
      <c r="AD37" s="188">
        <v>925</v>
      </c>
      <c r="AE37" s="190">
        <v>1005032</v>
      </c>
      <c r="AY37" s="192"/>
      <c r="AZ37" s="192"/>
    </row>
    <row r="38" spans="1:52" s="191" customFormat="1" ht="15" customHeight="1">
      <c r="A38" s="187" t="s">
        <v>154</v>
      </c>
      <c r="B38" s="188">
        <v>10223</v>
      </c>
      <c r="C38" s="188">
        <v>201</v>
      </c>
      <c r="D38" s="188">
        <v>3</v>
      </c>
      <c r="E38" s="188">
        <v>107166</v>
      </c>
      <c r="F38" s="188">
        <v>2098</v>
      </c>
      <c r="G38" s="188">
        <v>1134</v>
      </c>
      <c r="H38" s="188">
        <v>117389</v>
      </c>
      <c r="I38" s="188">
        <v>2299</v>
      </c>
      <c r="J38" s="188">
        <v>1137</v>
      </c>
      <c r="K38" s="188">
        <v>26222</v>
      </c>
      <c r="L38" s="188">
        <v>212620</v>
      </c>
      <c r="M38" s="188">
        <v>238842</v>
      </c>
      <c r="N38" s="188">
        <v>439</v>
      </c>
      <c r="O38" s="188">
        <v>287</v>
      </c>
      <c r="P38" s="188">
        <v>4563</v>
      </c>
      <c r="Q38" s="188">
        <v>2618</v>
      </c>
      <c r="R38" s="188">
        <v>5002</v>
      </c>
      <c r="S38" s="188">
        <v>2905</v>
      </c>
      <c r="T38" s="188">
        <v>6</v>
      </c>
      <c r="U38" s="188">
        <v>1542</v>
      </c>
      <c r="V38" s="188">
        <v>1548</v>
      </c>
      <c r="W38" s="189" t="s">
        <v>125</v>
      </c>
      <c r="X38" s="189" t="s">
        <v>125</v>
      </c>
      <c r="Y38" s="189" t="s">
        <v>125</v>
      </c>
      <c r="Z38" s="188">
        <v>126639</v>
      </c>
      <c r="AA38" s="188">
        <v>126639</v>
      </c>
      <c r="AB38" s="188">
        <v>0</v>
      </c>
      <c r="AC38" s="188">
        <v>32763986</v>
      </c>
      <c r="AD38" s="188">
        <v>512457</v>
      </c>
      <c r="AE38" s="190">
        <v>33276443</v>
      </c>
      <c r="AY38" s="192"/>
      <c r="AZ38" s="192"/>
    </row>
    <row r="39" spans="1:52" s="191" customFormat="1" ht="15" customHeight="1">
      <c r="A39" s="187" t="s">
        <v>155</v>
      </c>
      <c r="B39" s="188">
        <v>674</v>
      </c>
      <c r="C39" s="188">
        <v>9</v>
      </c>
      <c r="D39" s="188">
        <v>2</v>
      </c>
      <c r="E39" s="188">
        <v>8258</v>
      </c>
      <c r="F39" s="188">
        <v>44</v>
      </c>
      <c r="G39" s="188">
        <v>30</v>
      </c>
      <c r="H39" s="188">
        <v>8932</v>
      </c>
      <c r="I39" s="188">
        <v>53</v>
      </c>
      <c r="J39" s="188">
        <v>32</v>
      </c>
      <c r="K39" s="188">
        <v>1708</v>
      </c>
      <c r="L39" s="188">
        <v>15093</v>
      </c>
      <c r="M39" s="188">
        <v>16801</v>
      </c>
      <c r="N39" s="188">
        <v>18</v>
      </c>
      <c r="O39" s="188">
        <v>13</v>
      </c>
      <c r="P39" s="188">
        <v>106</v>
      </c>
      <c r="Q39" s="188">
        <v>53</v>
      </c>
      <c r="R39" s="188">
        <v>124</v>
      </c>
      <c r="S39" s="188">
        <v>66</v>
      </c>
      <c r="T39" s="188">
        <v>7</v>
      </c>
      <c r="U39" s="188">
        <v>46</v>
      </c>
      <c r="V39" s="188">
        <v>53</v>
      </c>
      <c r="W39" s="189" t="s">
        <v>125</v>
      </c>
      <c r="X39" s="189" t="s">
        <v>125</v>
      </c>
      <c r="Y39" s="189" t="s">
        <v>125</v>
      </c>
      <c r="Z39" s="188">
        <v>9436</v>
      </c>
      <c r="AA39" s="188">
        <v>9436</v>
      </c>
      <c r="AB39" s="188">
        <v>0</v>
      </c>
      <c r="AC39" s="188">
        <v>2164405</v>
      </c>
      <c r="AD39" s="188">
        <v>13557</v>
      </c>
      <c r="AE39" s="190">
        <v>2177962</v>
      </c>
      <c r="AY39" s="192"/>
      <c r="AZ39" s="192"/>
    </row>
    <row r="40" spans="1:52" s="191" customFormat="1" ht="15" customHeight="1">
      <c r="A40" s="187" t="s">
        <v>156</v>
      </c>
      <c r="B40" s="188">
        <v>85</v>
      </c>
      <c r="C40" s="188">
        <v>0</v>
      </c>
      <c r="D40" s="188">
        <v>0</v>
      </c>
      <c r="E40" s="188">
        <v>1077</v>
      </c>
      <c r="F40" s="188">
        <v>1</v>
      </c>
      <c r="G40" s="188">
        <v>0</v>
      </c>
      <c r="H40" s="188">
        <v>1162</v>
      </c>
      <c r="I40" s="188">
        <v>1</v>
      </c>
      <c r="J40" s="188">
        <v>0</v>
      </c>
      <c r="K40" s="188">
        <v>214</v>
      </c>
      <c r="L40" s="188">
        <v>1883</v>
      </c>
      <c r="M40" s="188">
        <v>2097</v>
      </c>
      <c r="N40" s="188">
        <v>0</v>
      </c>
      <c r="O40" s="188">
        <v>0</v>
      </c>
      <c r="P40" s="188">
        <v>3</v>
      </c>
      <c r="Q40" s="188">
        <v>0</v>
      </c>
      <c r="R40" s="188">
        <v>3</v>
      </c>
      <c r="S40" s="188">
        <v>0</v>
      </c>
      <c r="T40" s="188">
        <v>0</v>
      </c>
      <c r="U40" s="188">
        <v>0</v>
      </c>
      <c r="V40" s="188">
        <v>0</v>
      </c>
      <c r="W40" s="189" t="s">
        <v>125</v>
      </c>
      <c r="X40" s="189" t="s">
        <v>125</v>
      </c>
      <c r="Y40" s="189" t="s">
        <v>125</v>
      </c>
      <c r="Z40" s="188">
        <v>1238</v>
      </c>
      <c r="AA40" s="188">
        <v>1238</v>
      </c>
      <c r="AB40" s="188">
        <v>0</v>
      </c>
      <c r="AC40" s="188">
        <v>289004</v>
      </c>
      <c r="AD40" s="188">
        <v>0</v>
      </c>
      <c r="AE40" s="190">
        <v>289004</v>
      </c>
      <c r="AY40" s="192"/>
      <c r="AZ40" s="192"/>
    </row>
    <row r="41" spans="1:52" s="191" customFormat="1" ht="15" customHeight="1">
      <c r="A41" s="187" t="s">
        <v>157</v>
      </c>
      <c r="B41" s="188">
        <v>14942</v>
      </c>
      <c r="C41" s="188">
        <v>101</v>
      </c>
      <c r="D41" s="188">
        <v>10</v>
      </c>
      <c r="E41" s="188">
        <v>110426</v>
      </c>
      <c r="F41" s="188">
        <v>845</v>
      </c>
      <c r="G41" s="188">
        <v>183</v>
      </c>
      <c r="H41" s="188">
        <v>125368</v>
      </c>
      <c r="I41" s="188">
        <v>946</v>
      </c>
      <c r="J41" s="188">
        <v>193</v>
      </c>
      <c r="K41" s="188">
        <v>40261</v>
      </c>
      <c r="L41" s="188">
        <v>237114</v>
      </c>
      <c r="M41" s="188">
        <v>277375</v>
      </c>
      <c r="N41" s="188">
        <v>248</v>
      </c>
      <c r="O41" s="188">
        <v>128</v>
      </c>
      <c r="P41" s="188">
        <v>2346</v>
      </c>
      <c r="Q41" s="188">
        <v>935</v>
      </c>
      <c r="R41" s="188">
        <v>2594</v>
      </c>
      <c r="S41" s="188">
        <v>1063</v>
      </c>
      <c r="T41" s="188">
        <v>14</v>
      </c>
      <c r="U41" s="188">
        <v>233</v>
      </c>
      <c r="V41" s="188">
        <v>247</v>
      </c>
      <c r="W41" s="189" t="s">
        <v>125</v>
      </c>
      <c r="X41" s="189" t="s">
        <v>125</v>
      </c>
      <c r="Y41" s="189" t="s">
        <v>125</v>
      </c>
      <c r="Z41" s="188">
        <v>131623</v>
      </c>
      <c r="AA41" s="188">
        <v>131623</v>
      </c>
      <c r="AB41" s="188">
        <v>0</v>
      </c>
      <c r="AC41" s="188">
        <v>37114309</v>
      </c>
      <c r="AD41" s="188">
        <v>127926</v>
      </c>
      <c r="AE41" s="190">
        <v>37242235</v>
      </c>
      <c r="AY41" s="192"/>
      <c r="AZ41" s="192"/>
    </row>
    <row r="42" spans="1:52" s="191" customFormat="1" ht="15" customHeight="1">
      <c r="A42" s="187" t="s">
        <v>158</v>
      </c>
      <c r="B42" s="188">
        <v>13779</v>
      </c>
      <c r="C42" s="188">
        <v>593</v>
      </c>
      <c r="D42" s="188">
        <v>7</v>
      </c>
      <c r="E42" s="188">
        <v>83913</v>
      </c>
      <c r="F42" s="188">
        <v>1089</v>
      </c>
      <c r="G42" s="188">
        <v>587</v>
      </c>
      <c r="H42" s="188">
        <v>97692</v>
      </c>
      <c r="I42" s="188">
        <v>1682</v>
      </c>
      <c r="J42" s="188">
        <v>594</v>
      </c>
      <c r="K42" s="188">
        <v>35746</v>
      </c>
      <c r="L42" s="188">
        <v>167312</v>
      </c>
      <c r="M42" s="188">
        <v>203058</v>
      </c>
      <c r="N42" s="188">
        <v>1382</v>
      </c>
      <c r="O42" s="188">
        <v>976</v>
      </c>
      <c r="P42" s="188">
        <v>2513</v>
      </c>
      <c r="Q42" s="188">
        <v>1571</v>
      </c>
      <c r="R42" s="188">
        <v>3895</v>
      </c>
      <c r="S42" s="188">
        <v>2547</v>
      </c>
      <c r="T42" s="188">
        <v>15</v>
      </c>
      <c r="U42" s="188">
        <v>778</v>
      </c>
      <c r="V42" s="188">
        <v>793</v>
      </c>
      <c r="W42" s="189" t="s">
        <v>125</v>
      </c>
      <c r="X42" s="189" t="s">
        <v>125</v>
      </c>
      <c r="Y42" s="189" t="s">
        <v>125</v>
      </c>
      <c r="Z42" s="188">
        <v>114774</v>
      </c>
      <c r="AA42" s="188">
        <v>114774</v>
      </c>
      <c r="AB42" s="188">
        <v>0</v>
      </c>
      <c r="AC42" s="188">
        <v>29379408</v>
      </c>
      <c r="AD42" s="188">
        <v>404046</v>
      </c>
      <c r="AE42" s="190">
        <v>29783454</v>
      </c>
      <c r="AY42" s="192"/>
      <c r="AZ42" s="192"/>
    </row>
    <row r="43" spans="1:52" s="191" customFormat="1" ht="15" customHeight="1">
      <c r="A43" s="187" t="s">
        <v>159</v>
      </c>
      <c r="B43" s="188">
        <v>250</v>
      </c>
      <c r="C43" s="188">
        <v>1</v>
      </c>
      <c r="D43" s="188">
        <v>0</v>
      </c>
      <c r="E43" s="188">
        <v>2109</v>
      </c>
      <c r="F43" s="188">
        <v>20</v>
      </c>
      <c r="G43" s="188">
        <v>1</v>
      </c>
      <c r="H43" s="188">
        <v>2359</v>
      </c>
      <c r="I43" s="188">
        <v>21</v>
      </c>
      <c r="J43" s="188">
        <v>1</v>
      </c>
      <c r="K43" s="188">
        <v>653</v>
      </c>
      <c r="L43" s="188">
        <v>4556</v>
      </c>
      <c r="M43" s="188">
        <v>5209</v>
      </c>
      <c r="N43" s="188">
        <v>4</v>
      </c>
      <c r="O43" s="188">
        <v>1</v>
      </c>
      <c r="P43" s="188">
        <v>52</v>
      </c>
      <c r="Q43" s="188">
        <v>22</v>
      </c>
      <c r="R43" s="188">
        <v>56</v>
      </c>
      <c r="S43" s="188">
        <v>23</v>
      </c>
      <c r="T43" s="188">
        <v>0</v>
      </c>
      <c r="U43" s="188">
        <v>2</v>
      </c>
      <c r="V43" s="188">
        <v>2</v>
      </c>
      <c r="W43" s="189" t="s">
        <v>125</v>
      </c>
      <c r="X43" s="189" t="s">
        <v>125</v>
      </c>
      <c r="Y43" s="189" t="s">
        <v>125</v>
      </c>
      <c r="Z43" s="188">
        <v>2571</v>
      </c>
      <c r="AA43" s="188">
        <v>2571</v>
      </c>
      <c r="AB43" s="188">
        <v>0</v>
      </c>
      <c r="AC43" s="188">
        <v>677822</v>
      </c>
      <c r="AD43" s="188">
        <v>2088</v>
      </c>
      <c r="AE43" s="190">
        <v>679910</v>
      </c>
      <c r="AY43" s="192"/>
      <c r="AZ43" s="192"/>
    </row>
    <row r="44" spans="1:52" s="191" customFormat="1" ht="15" customHeight="1">
      <c r="A44" s="187" t="s">
        <v>160</v>
      </c>
      <c r="B44" s="188">
        <v>24193</v>
      </c>
      <c r="C44" s="188">
        <v>153</v>
      </c>
      <c r="D44" s="188">
        <v>8</v>
      </c>
      <c r="E44" s="188">
        <v>147243</v>
      </c>
      <c r="F44" s="188">
        <v>913</v>
      </c>
      <c r="G44" s="188">
        <v>366</v>
      </c>
      <c r="H44" s="188">
        <v>171436</v>
      </c>
      <c r="I44" s="188">
        <v>1066</v>
      </c>
      <c r="J44" s="188">
        <v>374</v>
      </c>
      <c r="K44" s="188">
        <v>63647</v>
      </c>
      <c r="L44" s="188">
        <v>309852</v>
      </c>
      <c r="M44" s="188">
        <v>373499</v>
      </c>
      <c r="N44" s="188">
        <v>390</v>
      </c>
      <c r="O44" s="188">
        <v>175</v>
      </c>
      <c r="P44" s="188">
        <v>2382</v>
      </c>
      <c r="Q44" s="188">
        <v>1089</v>
      </c>
      <c r="R44" s="188">
        <v>2772</v>
      </c>
      <c r="S44" s="188">
        <v>1264</v>
      </c>
      <c r="T44" s="188">
        <v>11</v>
      </c>
      <c r="U44" s="188">
        <v>477</v>
      </c>
      <c r="V44" s="188">
        <v>488</v>
      </c>
      <c r="W44" s="189" t="s">
        <v>125</v>
      </c>
      <c r="X44" s="189" t="s">
        <v>125</v>
      </c>
      <c r="Y44" s="189" t="s">
        <v>125</v>
      </c>
      <c r="Z44" s="188">
        <v>179568</v>
      </c>
      <c r="AA44" s="188">
        <v>179568</v>
      </c>
      <c r="AB44" s="188">
        <v>0</v>
      </c>
      <c r="AC44" s="188">
        <v>51124477</v>
      </c>
      <c r="AD44" s="188">
        <v>193162</v>
      </c>
      <c r="AE44" s="190">
        <v>51317639</v>
      </c>
      <c r="AY44" s="192"/>
      <c r="AZ44" s="192"/>
    </row>
    <row r="45" spans="1:52" s="191" customFormat="1" ht="15" customHeight="1">
      <c r="A45" s="187" t="s">
        <v>161</v>
      </c>
      <c r="B45" s="188">
        <v>12526</v>
      </c>
      <c r="C45" s="188">
        <v>308</v>
      </c>
      <c r="D45" s="188">
        <v>7</v>
      </c>
      <c r="E45" s="188">
        <v>123479</v>
      </c>
      <c r="F45" s="188">
        <v>1760</v>
      </c>
      <c r="G45" s="188">
        <v>762</v>
      </c>
      <c r="H45" s="188">
        <v>136005</v>
      </c>
      <c r="I45" s="188">
        <v>2068</v>
      </c>
      <c r="J45" s="188">
        <v>769</v>
      </c>
      <c r="K45" s="188">
        <v>34344</v>
      </c>
      <c r="L45" s="188">
        <v>238871</v>
      </c>
      <c r="M45" s="188">
        <v>273215</v>
      </c>
      <c r="N45" s="188">
        <v>651</v>
      </c>
      <c r="O45" s="188">
        <v>397</v>
      </c>
      <c r="P45" s="188">
        <v>4108</v>
      </c>
      <c r="Q45" s="188">
        <v>2054</v>
      </c>
      <c r="R45" s="188">
        <v>4759</v>
      </c>
      <c r="S45" s="188">
        <v>2451</v>
      </c>
      <c r="T45" s="188">
        <v>15</v>
      </c>
      <c r="U45" s="188">
        <v>961</v>
      </c>
      <c r="V45" s="188">
        <v>976</v>
      </c>
      <c r="W45" s="189" t="s">
        <v>125</v>
      </c>
      <c r="X45" s="189" t="s">
        <v>125</v>
      </c>
      <c r="Y45" s="189" t="s">
        <v>125</v>
      </c>
      <c r="Z45" s="188">
        <v>163161</v>
      </c>
      <c r="AA45" s="188">
        <v>163161</v>
      </c>
      <c r="AB45" s="188">
        <v>0</v>
      </c>
      <c r="AC45" s="188">
        <v>37209176</v>
      </c>
      <c r="AD45" s="188">
        <v>381175</v>
      </c>
      <c r="AE45" s="190">
        <v>37590351</v>
      </c>
      <c r="AY45" s="192"/>
      <c r="AZ45" s="192"/>
    </row>
    <row r="46" spans="1:52" s="191" customFormat="1" ht="15" customHeight="1">
      <c r="A46" s="187" t="s">
        <v>162</v>
      </c>
      <c r="B46" s="188">
        <v>1996</v>
      </c>
      <c r="C46" s="188">
        <v>133</v>
      </c>
      <c r="D46" s="188">
        <v>8</v>
      </c>
      <c r="E46" s="188">
        <v>30199</v>
      </c>
      <c r="F46" s="188">
        <v>826</v>
      </c>
      <c r="G46" s="188">
        <v>1206</v>
      </c>
      <c r="H46" s="188">
        <v>32195</v>
      </c>
      <c r="I46" s="188">
        <v>959</v>
      </c>
      <c r="J46" s="188">
        <v>1214</v>
      </c>
      <c r="K46" s="188">
        <v>4331</v>
      </c>
      <c r="L46" s="188">
        <v>43900</v>
      </c>
      <c r="M46" s="188">
        <v>48231</v>
      </c>
      <c r="N46" s="188">
        <v>242</v>
      </c>
      <c r="O46" s="188">
        <v>153</v>
      </c>
      <c r="P46" s="188">
        <v>1533</v>
      </c>
      <c r="Q46" s="188">
        <v>1051</v>
      </c>
      <c r="R46" s="188">
        <v>1775</v>
      </c>
      <c r="S46" s="188">
        <v>1204</v>
      </c>
      <c r="T46" s="188">
        <v>15</v>
      </c>
      <c r="U46" s="188">
        <v>1260</v>
      </c>
      <c r="V46" s="188">
        <v>1275</v>
      </c>
      <c r="W46" s="189" t="s">
        <v>125</v>
      </c>
      <c r="X46" s="189" t="s">
        <v>125</v>
      </c>
      <c r="Y46" s="189" t="s">
        <v>125</v>
      </c>
      <c r="Z46" s="188">
        <v>37556</v>
      </c>
      <c r="AA46" s="188">
        <v>37556</v>
      </c>
      <c r="AB46" s="188">
        <v>0</v>
      </c>
      <c r="AC46" s="188">
        <v>7210756</v>
      </c>
      <c r="AD46" s="188">
        <v>315286</v>
      </c>
      <c r="AE46" s="190">
        <v>7526042</v>
      </c>
      <c r="AY46" s="192"/>
      <c r="AZ46" s="192"/>
    </row>
    <row r="47" spans="1:52" s="191" customFormat="1" ht="15" customHeight="1">
      <c r="A47" s="187" t="s">
        <v>163</v>
      </c>
      <c r="B47" s="188">
        <v>6811</v>
      </c>
      <c r="C47" s="188">
        <v>52</v>
      </c>
      <c r="D47" s="188">
        <v>1</v>
      </c>
      <c r="E47" s="188">
        <v>42489</v>
      </c>
      <c r="F47" s="188">
        <v>465</v>
      </c>
      <c r="G47" s="188">
        <v>152</v>
      </c>
      <c r="H47" s="188">
        <v>49300</v>
      </c>
      <c r="I47" s="188">
        <v>517</v>
      </c>
      <c r="J47" s="188">
        <v>153</v>
      </c>
      <c r="K47" s="188">
        <v>16866</v>
      </c>
      <c r="L47" s="188">
        <v>93026</v>
      </c>
      <c r="M47" s="188">
        <v>109892</v>
      </c>
      <c r="N47" s="188">
        <v>141</v>
      </c>
      <c r="O47" s="188">
        <v>63</v>
      </c>
      <c r="P47" s="188">
        <v>1300</v>
      </c>
      <c r="Q47" s="188">
        <v>574</v>
      </c>
      <c r="R47" s="188">
        <v>1441</v>
      </c>
      <c r="S47" s="188">
        <v>637</v>
      </c>
      <c r="T47" s="188">
        <v>1</v>
      </c>
      <c r="U47" s="188">
        <v>212</v>
      </c>
      <c r="V47" s="188">
        <v>213</v>
      </c>
      <c r="W47" s="189" t="s">
        <v>125</v>
      </c>
      <c r="X47" s="189" t="s">
        <v>125</v>
      </c>
      <c r="Y47" s="189" t="s">
        <v>125</v>
      </c>
      <c r="Z47" s="188">
        <v>52224</v>
      </c>
      <c r="AA47" s="188">
        <v>52224</v>
      </c>
      <c r="AB47" s="188">
        <v>0</v>
      </c>
      <c r="AC47" s="188">
        <v>14851441</v>
      </c>
      <c r="AD47" s="188">
        <v>91931</v>
      </c>
      <c r="AE47" s="190">
        <v>14943372</v>
      </c>
      <c r="AY47" s="192"/>
      <c r="AZ47" s="192"/>
    </row>
    <row r="48" spans="1:52" s="191" customFormat="1" ht="15" customHeight="1">
      <c r="A48" s="187" t="s">
        <v>164</v>
      </c>
      <c r="B48" s="188">
        <v>854</v>
      </c>
      <c r="C48" s="188">
        <v>6</v>
      </c>
      <c r="D48" s="188">
        <v>0</v>
      </c>
      <c r="E48" s="188">
        <v>8790</v>
      </c>
      <c r="F48" s="188">
        <v>39</v>
      </c>
      <c r="G48" s="188">
        <v>8</v>
      </c>
      <c r="H48" s="188">
        <v>9644</v>
      </c>
      <c r="I48" s="188">
        <v>45</v>
      </c>
      <c r="J48" s="188">
        <v>8</v>
      </c>
      <c r="K48" s="188">
        <v>2136</v>
      </c>
      <c r="L48" s="188">
        <v>15162</v>
      </c>
      <c r="M48" s="188">
        <v>17298</v>
      </c>
      <c r="N48" s="188">
        <v>18</v>
      </c>
      <c r="O48" s="188">
        <v>8</v>
      </c>
      <c r="P48" s="188">
        <v>108</v>
      </c>
      <c r="Q48" s="188">
        <v>47</v>
      </c>
      <c r="R48" s="188">
        <v>126</v>
      </c>
      <c r="S48" s="188">
        <v>55</v>
      </c>
      <c r="T48" s="188">
        <v>0</v>
      </c>
      <c r="U48" s="188">
        <v>9</v>
      </c>
      <c r="V48" s="188">
        <v>9</v>
      </c>
      <c r="W48" s="189" t="s">
        <v>125</v>
      </c>
      <c r="X48" s="189" t="s">
        <v>125</v>
      </c>
      <c r="Y48" s="189" t="s">
        <v>125</v>
      </c>
      <c r="Z48" s="188">
        <v>10302</v>
      </c>
      <c r="AA48" s="188">
        <v>10302</v>
      </c>
      <c r="AB48" s="188">
        <v>0</v>
      </c>
      <c r="AC48" s="188">
        <v>2343497</v>
      </c>
      <c r="AD48" s="188">
        <v>5322</v>
      </c>
      <c r="AE48" s="190">
        <v>2348819</v>
      </c>
      <c r="AY48" s="192"/>
      <c r="AZ48" s="192"/>
    </row>
    <row r="49" spans="1:52" s="191" customFormat="1" ht="15" customHeight="1">
      <c r="A49" s="187" t="s">
        <v>165</v>
      </c>
      <c r="B49" s="188">
        <v>783</v>
      </c>
      <c r="C49" s="188">
        <v>26</v>
      </c>
      <c r="D49" s="188">
        <v>2</v>
      </c>
      <c r="E49" s="188">
        <v>13063</v>
      </c>
      <c r="F49" s="188">
        <v>423</v>
      </c>
      <c r="G49" s="188">
        <v>152</v>
      </c>
      <c r="H49" s="188">
        <v>13846</v>
      </c>
      <c r="I49" s="188">
        <v>449</v>
      </c>
      <c r="J49" s="188">
        <v>154</v>
      </c>
      <c r="K49" s="188">
        <v>1819</v>
      </c>
      <c r="L49" s="188">
        <v>24468</v>
      </c>
      <c r="M49" s="188">
        <v>26287</v>
      </c>
      <c r="N49" s="188">
        <v>62</v>
      </c>
      <c r="O49" s="188">
        <v>28</v>
      </c>
      <c r="P49" s="188">
        <v>973</v>
      </c>
      <c r="Q49" s="188">
        <v>514</v>
      </c>
      <c r="R49" s="188">
        <v>1035</v>
      </c>
      <c r="S49" s="188">
        <v>542</v>
      </c>
      <c r="T49" s="188">
        <v>2</v>
      </c>
      <c r="U49" s="188">
        <v>191</v>
      </c>
      <c r="V49" s="188">
        <v>193</v>
      </c>
      <c r="W49" s="189" t="s">
        <v>125</v>
      </c>
      <c r="X49" s="189" t="s">
        <v>125</v>
      </c>
      <c r="Y49" s="189" t="s">
        <v>125</v>
      </c>
      <c r="Z49" s="188">
        <v>16694</v>
      </c>
      <c r="AA49" s="188">
        <v>16694</v>
      </c>
      <c r="AB49" s="188">
        <v>0</v>
      </c>
      <c r="AC49" s="188">
        <v>3589664</v>
      </c>
      <c r="AD49" s="188">
        <v>70750</v>
      </c>
      <c r="AE49" s="190">
        <v>3660414</v>
      </c>
      <c r="AY49" s="192"/>
      <c r="AZ49" s="192"/>
    </row>
    <row r="50" spans="1:52" s="191" customFormat="1" ht="15" customHeight="1">
      <c r="A50" s="187" t="s">
        <v>166</v>
      </c>
      <c r="B50" s="188">
        <v>2145</v>
      </c>
      <c r="C50" s="188">
        <v>23</v>
      </c>
      <c r="D50" s="188">
        <v>0</v>
      </c>
      <c r="E50" s="188">
        <v>16224</v>
      </c>
      <c r="F50" s="188">
        <v>133</v>
      </c>
      <c r="G50" s="188">
        <v>66</v>
      </c>
      <c r="H50" s="188">
        <v>18369</v>
      </c>
      <c r="I50" s="188">
        <v>156</v>
      </c>
      <c r="J50" s="188">
        <v>66</v>
      </c>
      <c r="K50" s="188">
        <v>5560</v>
      </c>
      <c r="L50" s="188">
        <v>32234</v>
      </c>
      <c r="M50" s="188">
        <v>37794</v>
      </c>
      <c r="N50" s="188">
        <v>51</v>
      </c>
      <c r="O50" s="188">
        <v>24</v>
      </c>
      <c r="P50" s="188">
        <v>351</v>
      </c>
      <c r="Q50" s="188">
        <v>140</v>
      </c>
      <c r="R50" s="188">
        <v>402</v>
      </c>
      <c r="S50" s="188">
        <v>164</v>
      </c>
      <c r="T50" s="188">
        <v>0</v>
      </c>
      <c r="U50" s="188">
        <v>83</v>
      </c>
      <c r="V50" s="188">
        <v>83</v>
      </c>
      <c r="W50" s="189" t="s">
        <v>125</v>
      </c>
      <c r="X50" s="189" t="s">
        <v>125</v>
      </c>
      <c r="Y50" s="189" t="s">
        <v>125</v>
      </c>
      <c r="Z50" s="188">
        <v>22553</v>
      </c>
      <c r="AA50" s="188">
        <v>22553</v>
      </c>
      <c r="AB50" s="188">
        <v>0</v>
      </c>
      <c r="AC50" s="188">
        <v>5130614</v>
      </c>
      <c r="AD50" s="188">
        <v>31471</v>
      </c>
      <c r="AE50" s="190">
        <v>5162085</v>
      </c>
      <c r="AY50" s="192"/>
      <c r="AZ50" s="192"/>
    </row>
    <row r="51" spans="1:52" s="191" customFormat="1" ht="15" customHeight="1">
      <c r="A51" s="187" t="s">
        <v>167</v>
      </c>
      <c r="B51" s="188">
        <v>4095</v>
      </c>
      <c r="C51" s="188">
        <v>101</v>
      </c>
      <c r="D51" s="188">
        <v>1</v>
      </c>
      <c r="E51" s="188">
        <v>44903</v>
      </c>
      <c r="F51" s="188">
        <v>850</v>
      </c>
      <c r="G51" s="188">
        <v>649</v>
      </c>
      <c r="H51" s="188">
        <v>48998</v>
      </c>
      <c r="I51" s="188">
        <v>951</v>
      </c>
      <c r="J51" s="188">
        <v>650</v>
      </c>
      <c r="K51" s="188">
        <v>9932</v>
      </c>
      <c r="L51" s="188">
        <v>85197</v>
      </c>
      <c r="M51" s="188">
        <v>95129</v>
      </c>
      <c r="N51" s="188">
        <v>215</v>
      </c>
      <c r="O51" s="188">
        <v>122</v>
      </c>
      <c r="P51" s="188">
        <v>1827</v>
      </c>
      <c r="Q51" s="188">
        <v>1102</v>
      </c>
      <c r="R51" s="188">
        <v>2042</v>
      </c>
      <c r="S51" s="188">
        <v>1224</v>
      </c>
      <c r="T51" s="188">
        <v>1</v>
      </c>
      <c r="U51" s="188">
        <v>941</v>
      </c>
      <c r="V51" s="188">
        <v>942</v>
      </c>
      <c r="W51" s="189" t="s">
        <v>125</v>
      </c>
      <c r="X51" s="189" t="s">
        <v>125</v>
      </c>
      <c r="Y51" s="189" t="s">
        <v>125</v>
      </c>
      <c r="Z51" s="188">
        <v>52677</v>
      </c>
      <c r="AA51" s="188">
        <v>52677</v>
      </c>
      <c r="AB51" s="188">
        <v>0</v>
      </c>
      <c r="AC51" s="188">
        <v>13175382</v>
      </c>
      <c r="AD51" s="188">
        <v>245745</v>
      </c>
      <c r="AE51" s="190">
        <v>13421127</v>
      </c>
      <c r="AY51" s="192"/>
      <c r="AZ51" s="192"/>
    </row>
    <row r="52" spans="1:52" s="191" customFormat="1" ht="15" customHeight="1">
      <c r="A52" s="187" t="s">
        <v>168</v>
      </c>
      <c r="B52" s="188">
        <v>1064</v>
      </c>
      <c r="C52" s="188">
        <v>3</v>
      </c>
      <c r="D52" s="188">
        <v>0</v>
      </c>
      <c r="E52" s="188">
        <v>13445</v>
      </c>
      <c r="F52" s="188">
        <v>40</v>
      </c>
      <c r="G52" s="188">
        <v>12</v>
      </c>
      <c r="H52" s="188">
        <v>14509</v>
      </c>
      <c r="I52" s="188">
        <v>43</v>
      </c>
      <c r="J52" s="188">
        <v>12</v>
      </c>
      <c r="K52" s="188">
        <v>2663</v>
      </c>
      <c r="L52" s="188">
        <v>23815</v>
      </c>
      <c r="M52" s="188">
        <v>26478</v>
      </c>
      <c r="N52" s="188">
        <v>9</v>
      </c>
      <c r="O52" s="188">
        <v>3</v>
      </c>
      <c r="P52" s="188">
        <v>85</v>
      </c>
      <c r="Q52" s="188">
        <v>46</v>
      </c>
      <c r="R52" s="188">
        <v>94</v>
      </c>
      <c r="S52" s="188">
        <v>49</v>
      </c>
      <c r="T52" s="188">
        <v>0</v>
      </c>
      <c r="U52" s="188">
        <v>17</v>
      </c>
      <c r="V52" s="188">
        <v>17</v>
      </c>
      <c r="W52" s="189" t="s">
        <v>125</v>
      </c>
      <c r="X52" s="189" t="s">
        <v>125</v>
      </c>
      <c r="Y52" s="189" t="s">
        <v>125</v>
      </c>
      <c r="Z52" s="188">
        <v>16936</v>
      </c>
      <c r="AA52" s="188">
        <v>16936</v>
      </c>
      <c r="AB52" s="188">
        <v>0</v>
      </c>
      <c r="AC52" s="188">
        <v>3610370</v>
      </c>
      <c r="AD52" s="188">
        <v>6467</v>
      </c>
      <c r="AE52" s="190">
        <v>3616837</v>
      </c>
      <c r="AY52" s="192"/>
      <c r="AZ52" s="192"/>
    </row>
    <row r="53" spans="1:52" s="191" customFormat="1" ht="15" customHeight="1">
      <c r="A53" s="187" t="s">
        <v>169</v>
      </c>
      <c r="B53" s="188">
        <v>1245</v>
      </c>
      <c r="C53" s="188">
        <v>3</v>
      </c>
      <c r="D53" s="188">
        <v>0</v>
      </c>
      <c r="E53" s="188">
        <v>11438</v>
      </c>
      <c r="F53" s="188">
        <v>27</v>
      </c>
      <c r="G53" s="188">
        <v>17</v>
      </c>
      <c r="H53" s="188">
        <v>12683</v>
      </c>
      <c r="I53" s="188">
        <v>30</v>
      </c>
      <c r="J53" s="188">
        <v>17</v>
      </c>
      <c r="K53" s="188">
        <v>3017</v>
      </c>
      <c r="L53" s="188">
        <v>20917</v>
      </c>
      <c r="M53" s="188">
        <v>23934</v>
      </c>
      <c r="N53" s="188">
        <v>4</v>
      </c>
      <c r="O53" s="188">
        <v>3</v>
      </c>
      <c r="P53" s="188">
        <v>67</v>
      </c>
      <c r="Q53" s="188">
        <v>29</v>
      </c>
      <c r="R53" s="188">
        <v>71</v>
      </c>
      <c r="S53" s="188">
        <v>32</v>
      </c>
      <c r="T53" s="188">
        <v>0</v>
      </c>
      <c r="U53" s="188">
        <v>19</v>
      </c>
      <c r="V53" s="188">
        <v>19</v>
      </c>
      <c r="W53" s="189" t="s">
        <v>125</v>
      </c>
      <c r="X53" s="189" t="s">
        <v>125</v>
      </c>
      <c r="Y53" s="189" t="s">
        <v>125</v>
      </c>
      <c r="Z53" s="188">
        <v>13383</v>
      </c>
      <c r="AA53" s="188">
        <v>13383</v>
      </c>
      <c r="AB53" s="188">
        <v>0</v>
      </c>
      <c r="AC53" s="188">
        <v>3129066</v>
      </c>
      <c r="AD53" s="188">
        <v>5254</v>
      </c>
      <c r="AE53" s="190">
        <v>3134320</v>
      </c>
      <c r="AY53" s="192"/>
      <c r="AZ53" s="192"/>
    </row>
    <row r="54" spans="1:52" s="191" customFormat="1" ht="15" customHeight="1">
      <c r="A54" s="187" t="s">
        <v>170</v>
      </c>
      <c r="B54" s="188">
        <v>13</v>
      </c>
      <c r="C54" s="188">
        <v>0</v>
      </c>
      <c r="D54" s="188">
        <v>0</v>
      </c>
      <c r="E54" s="188">
        <v>151</v>
      </c>
      <c r="F54" s="188">
        <v>0</v>
      </c>
      <c r="G54" s="188">
        <v>0</v>
      </c>
      <c r="H54" s="188">
        <v>164</v>
      </c>
      <c r="I54" s="188">
        <v>0</v>
      </c>
      <c r="J54" s="188">
        <v>0</v>
      </c>
      <c r="K54" s="188">
        <v>34</v>
      </c>
      <c r="L54" s="188">
        <v>252</v>
      </c>
      <c r="M54" s="188">
        <v>286</v>
      </c>
      <c r="N54" s="188">
        <v>0</v>
      </c>
      <c r="O54" s="188">
        <v>0</v>
      </c>
      <c r="P54" s="188">
        <v>0</v>
      </c>
      <c r="Q54" s="188">
        <v>0</v>
      </c>
      <c r="R54" s="188">
        <v>0</v>
      </c>
      <c r="S54" s="188">
        <v>0</v>
      </c>
      <c r="T54" s="188">
        <v>0</v>
      </c>
      <c r="U54" s="188">
        <v>0</v>
      </c>
      <c r="V54" s="188">
        <v>0</v>
      </c>
      <c r="W54" s="189" t="s">
        <v>125</v>
      </c>
      <c r="X54" s="189" t="s">
        <v>125</v>
      </c>
      <c r="Y54" s="189" t="s">
        <v>125</v>
      </c>
      <c r="Z54" s="188">
        <v>169</v>
      </c>
      <c r="AA54" s="188">
        <v>169</v>
      </c>
      <c r="AB54" s="188">
        <v>0</v>
      </c>
      <c r="AC54" s="188">
        <v>36734</v>
      </c>
      <c r="AD54" s="188">
        <v>0</v>
      </c>
      <c r="AE54" s="190">
        <v>36734</v>
      </c>
      <c r="AY54" s="192"/>
      <c r="AZ54" s="192"/>
    </row>
    <row r="55" spans="1:52" s="191" customFormat="1" ht="15" customHeight="1">
      <c r="A55" s="187" t="s">
        <v>171</v>
      </c>
      <c r="B55" s="188">
        <v>371</v>
      </c>
      <c r="C55" s="188">
        <v>1</v>
      </c>
      <c r="D55" s="188">
        <v>0</v>
      </c>
      <c r="E55" s="188">
        <v>2750</v>
      </c>
      <c r="F55" s="188">
        <v>6</v>
      </c>
      <c r="G55" s="188">
        <v>2</v>
      </c>
      <c r="H55" s="188">
        <v>3121</v>
      </c>
      <c r="I55" s="188">
        <v>7</v>
      </c>
      <c r="J55" s="188">
        <v>2</v>
      </c>
      <c r="K55" s="188">
        <v>1006</v>
      </c>
      <c r="L55" s="188">
        <v>5539</v>
      </c>
      <c r="M55" s="188">
        <v>6545</v>
      </c>
      <c r="N55" s="188">
        <v>2</v>
      </c>
      <c r="O55" s="188">
        <v>1</v>
      </c>
      <c r="P55" s="188">
        <v>22</v>
      </c>
      <c r="Q55" s="188">
        <v>7</v>
      </c>
      <c r="R55" s="188">
        <v>24</v>
      </c>
      <c r="S55" s="188">
        <v>8</v>
      </c>
      <c r="T55" s="188">
        <v>0</v>
      </c>
      <c r="U55" s="188">
        <v>3</v>
      </c>
      <c r="V55" s="188">
        <v>3</v>
      </c>
      <c r="W55" s="189" t="s">
        <v>125</v>
      </c>
      <c r="X55" s="189" t="s">
        <v>125</v>
      </c>
      <c r="Y55" s="189" t="s">
        <v>125</v>
      </c>
      <c r="Z55" s="188">
        <v>3359</v>
      </c>
      <c r="AA55" s="188">
        <v>3359</v>
      </c>
      <c r="AB55" s="188">
        <v>0</v>
      </c>
      <c r="AC55" s="188">
        <v>877153</v>
      </c>
      <c r="AD55" s="188">
        <v>910</v>
      </c>
      <c r="AE55" s="190">
        <v>878063</v>
      </c>
      <c r="AY55" s="192"/>
      <c r="AZ55" s="192"/>
    </row>
    <row r="56" spans="1:52" s="191" customFormat="1" ht="15" customHeight="1">
      <c r="A56" s="187" t="s">
        <v>172</v>
      </c>
      <c r="B56" s="188">
        <v>2423</v>
      </c>
      <c r="C56" s="188">
        <v>18</v>
      </c>
      <c r="D56" s="188">
        <v>1</v>
      </c>
      <c r="E56" s="188">
        <v>18936</v>
      </c>
      <c r="F56" s="188">
        <v>158</v>
      </c>
      <c r="G56" s="188">
        <v>70</v>
      </c>
      <c r="H56" s="188">
        <v>21359</v>
      </c>
      <c r="I56" s="188">
        <v>176</v>
      </c>
      <c r="J56" s="188">
        <v>71</v>
      </c>
      <c r="K56" s="188">
        <v>5754</v>
      </c>
      <c r="L56" s="188">
        <v>34362</v>
      </c>
      <c r="M56" s="188">
        <v>40116</v>
      </c>
      <c r="N56" s="188">
        <v>45</v>
      </c>
      <c r="O56" s="188">
        <v>21</v>
      </c>
      <c r="P56" s="188">
        <v>363</v>
      </c>
      <c r="Q56" s="188">
        <v>182</v>
      </c>
      <c r="R56" s="188">
        <v>408</v>
      </c>
      <c r="S56" s="188">
        <v>203</v>
      </c>
      <c r="T56" s="188">
        <v>2</v>
      </c>
      <c r="U56" s="188">
        <v>96</v>
      </c>
      <c r="V56" s="188">
        <v>98</v>
      </c>
      <c r="W56" s="189" t="s">
        <v>125</v>
      </c>
      <c r="X56" s="189" t="s">
        <v>125</v>
      </c>
      <c r="Y56" s="189" t="s">
        <v>125</v>
      </c>
      <c r="Z56" s="188">
        <v>22737</v>
      </c>
      <c r="AA56" s="188">
        <v>22737</v>
      </c>
      <c r="AB56" s="188">
        <v>0</v>
      </c>
      <c r="AC56" s="188">
        <v>5695357</v>
      </c>
      <c r="AD56" s="188">
        <v>37841</v>
      </c>
      <c r="AE56" s="190">
        <v>5733198</v>
      </c>
      <c r="AY56" s="192"/>
      <c r="AZ56" s="192"/>
    </row>
    <row r="57" spans="1:52" s="191" customFormat="1" ht="15" customHeight="1">
      <c r="A57" s="187" t="s">
        <v>173</v>
      </c>
      <c r="B57" s="188">
        <v>1380</v>
      </c>
      <c r="C57" s="188">
        <v>40</v>
      </c>
      <c r="D57" s="188">
        <v>1</v>
      </c>
      <c r="E57" s="188">
        <v>16190</v>
      </c>
      <c r="F57" s="188">
        <v>226</v>
      </c>
      <c r="G57" s="188">
        <v>54</v>
      </c>
      <c r="H57" s="188">
        <v>17570</v>
      </c>
      <c r="I57" s="188">
        <v>266</v>
      </c>
      <c r="J57" s="188">
        <v>55</v>
      </c>
      <c r="K57" s="188">
        <v>3276</v>
      </c>
      <c r="L57" s="188">
        <v>27593</v>
      </c>
      <c r="M57" s="188">
        <v>30869</v>
      </c>
      <c r="N57" s="188">
        <v>94</v>
      </c>
      <c r="O57" s="188">
        <v>46</v>
      </c>
      <c r="P57" s="188">
        <v>557</v>
      </c>
      <c r="Q57" s="188">
        <v>250</v>
      </c>
      <c r="R57" s="188">
        <v>651</v>
      </c>
      <c r="S57" s="188">
        <v>296</v>
      </c>
      <c r="T57" s="188">
        <v>1</v>
      </c>
      <c r="U57" s="188">
        <v>72</v>
      </c>
      <c r="V57" s="188">
        <v>73</v>
      </c>
      <c r="W57" s="189" t="s">
        <v>125</v>
      </c>
      <c r="X57" s="189" t="s">
        <v>125</v>
      </c>
      <c r="Y57" s="189" t="s">
        <v>125</v>
      </c>
      <c r="Z57" s="188">
        <v>20093</v>
      </c>
      <c r="AA57" s="188">
        <v>20093</v>
      </c>
      <c r="AB57" s="188">
        <v>0</v>
      </c>
      <c r="AC57" s="188">
        <v>4164607</v>
      </c>
      <c r="AD57" s="188">
        <v>33595</v>
      </c>
      <c r="AE57" s="190">
        <v>4198202</v>
      </c>
      <c r="AY57" s="192"/>
      <c r="AZ57" s="192"/>
    </row>
    <row r="58" spans="1:52" s="191" customFormat="1" ht="15" customHeight="1">
      <c r="A58" s="187" t="s">
        <v>174</v>
      </c>
      <c r="B58" s="188">
        <v>5393</v>
      </c>
      <c r="C58" s="188">
        <v>39</v>
      </c>
      <c r="D58" s="188">
        <v>0</v>
      </c>
      <c r="E58" s="188">
        <v>34969</v>
      </c>
      <c r="F58" s="188">
        <v>170</v>
      </c>
      <c r="G58" s="188">
        <v>28</v>
      </c>
      <c r="H58" s="188">
        <v>40362</v>
      </c>
      <c r="I58" s="188">
        <v>209</v>
      </c>
      <c r="J58" s="188">
        <v>28</v>
      </c>
      <c r="K58" s="188">
        <v>13928</v>
      </c>
      <c r="L58" s="188">
        <v>70477</v>
      </c>
      <c r="M58" s="188">
        <v>84405</v>
      </c>
      <c r="N58" s="188">
        <v>105</v>
      </c>
      <c r="O58" s="188">
        <v>46</v>
      </c>
      <c r="P58" s="188">
        <v>485</v>
      </c>
      <c r="Q58" s="188">
        <v>195</v>
      </c>
      <c r="R58" s="188">
        <v>590</v>
      </c>
      <c r="S58" s="188">
        <v>241</v>
      </c>
      <c r="T58" s="188">
        <v>0</v>
      </c>
      <c r="U58" s="188">
        <v>36</v>
      </c>
      <c r="V58" s="188">
        <v>36</v>
      </c>
      <c r="W58" s="189" t="s">
        <v>125</v>
      </c>
      <c r="X58" s="189" t="s">
        <v>125</v>
      </c>
      <c r="Y58" s="189" t="s">
        <v>125</v>
      </c>
      <c r="Z58" s="188">
        <v>42208</v>
      </c>
      <c r="AA58" s="188">
        <v>42208</v>
      </c>
      <c r="AB58" s="188">
        <v>0</v>
      </c>
      <c r="AC58" s="188">
        <v>11420952</v>
      </c>
      <c r="AD58" s="188">
        <v>27249</v>
      </c>
      <c r="AE58" s="190">
        <v>11448201</v>
      </c>
      <c r="AY58" s="192"/>
      <c r="AZ58" s="192"/>
    </row>
    <row r="59" spans="1:52" s="191" customFormat="1" ht="15" customHeight="1">
      <c r="A59" s="187" t="s">
        <v>217</v>
      </c>
      <c r="B59" s="188">
        <v>665</v>
      </c>
      <c r="C59" s="188">
        <v>15</v>
      </c>
      <c r="D59" s="188">
        <v>0</v>
      </c>
      <c r="E59" s="188">
        <v>4848</v>
      </c>
      <c r="F59" s="188">
        <v>50</v>
      </c>
      <c r="G59" s="188">
        <v>13</v>
      </c>
      <c r="H59" s="188">
        <v>5513</v>
      </c>
      <c r="I59" s="188">
        <v>65</v>
      </c>
      <c r="J59" s="188">
        <v>13</v>
      </c>
      <c r="K59" s="188">
        <v>1800</v>
      </c>
      <c r="L59" s="188">
        <v>10745</v>
      </c>
      <c r="M59" s="188">
        <v>12545</v>
      </c>
      <c r="N59" s="188">
        <v>42</v>
      </c>
      <c r="O59" s="188">
        <v>16</v>
      </c>
      <c r="P59" s="188">
        <v>140</v>
      </c>
      <c r="Q59" s="188">
        <v>62</v>
      </c>
      <c r="R59" s="188">
        <v>182</v>
      </c>
      <c r="S59" s="188">
        <v>78</v>
      </c>
      <c r="T59" s="188">
        <v>0</v>
      </c>
      <c r="U59" s="188">
        <v>18</v>
      </c>
      <c r="V59" s="188">
        <v>18</v>
      </c>
      <c r="W59" s="189" t="s">
        <v>125</v>
      </c>
      <c r="X59" s="189" t="s">
        <v>125</v>
      </c>
      <c r="Y59" s="189" t="s">
        <v>125</v>
      </c>
      <c r="Z59" s="188">
        <v>5915</v>
      </c>
      <c r="AA59" s="188">
        <v>5915</v>
      </c>
      <c r="AB59" s="188">
        <v>0</v>
      </c>
      <c r="AC59" s="188">
        <v>1699521</v>
      </c>
      <c r="AD59" s="188">
        <v>10596</v>
      </c>
      <c r="AE59" s="190">
        <v>1710117</v>
      </c>
      <c r="AY59" s="192"/>
      <c r="AZ59" s="192"/>
    </row>
    <row r="60" spans="1:52" s="191" customFormat="1" ht="15" customHeight="1">
      <c r="A60" s="187" t="s">
        <v>176</v>
      </c>
      <c r="B60" s="188">
        <v>470</v>
      </c>
      <c r="C60" s="188">
        <v>0</v>
      </c>
      <c r="D60" s="188">
        <v>0</v>
      </c>
      <c r="E60" s="188">
        <v>3862</v>
      </c>
      <c r="F60" s="188">
        <v>25</v>
      </c>
      <c r="G60" s="188">
        <v>2</v>
      </c>
      <c r="H60" s="188">
        <v>4332</v>
      </c>
      <c r="I60" s="188">
        <v>25</v>
      </c>
      <c r="J60" s="188">
        <v>2</v>
      </c>
      <c r="K60" s="188">
        <v>1229</v>
      </c>
      <c r="L60" s="188">
        <v>8090</v>
      </c>
      <c r="M60" s="188">
        <v>9319</v>
      </c>
      <c r="N60" s="188">
        <v>0</v>
      </c>
      <c r="O60" s="188">
        <v>0</v>
      </c>
      <c r="P60" s="188">
        <v>63</v>
      </c>
      <c r="Q60" s="188">
        <v>30</v>
      </c>
      <c r="R60" s="188">
        <v>63</v>
      </c>
      <c r="S60" s="188">
        <v>30</v>
      </c>
      <c r="T60" s="188">
        <v>0</v>
      </c>
      <c r="U60" s="188">
        <v>3</v>
      </c>
      <c r="V60" s="188">
        <v>3</v>
      </c>
      <c r="W60" s="189" t="s">
        <v>125</v>
      </c>
      <c r="X60" s="189" t="s">
        <v>125</v>
      </c>
      <c r="Y60" s="189" t="s">
        <v>125</v>
      </c>
      <c r="Z60" s="188">
        <v>4663</v>
      </c>
      <c r="AA60" s="188">
        <v>4663</v>
      </c>
      <c r="AB60" s="188">
        <v>0</v>
      </c>
      <c r="AC60" s="188">
        <v>1205544</v>
      </c>
      <c r="AD60" s="188">
        <v>4682</v>
      </c>
      <c r="AE60" s="190">
        <v>1210226</v>
      </c>
      <c r="AY60" s="192"/>
      <c r="AZ60" s="192"/>
    </row>
    <row r="61" spans="1:52" s="191" customFormat="1" ht="15" customHeight="1">
      <c r="A61" s="187" t="s">
        <v>177</v>
      </c>
      <c r="B61" s="188">
        <v>58</v>
      </c>
      <c r="C61" s="188">
        <v>0</v>
      </c>
      <c r="D61" s="188">
        <v>0</v>
      </c>
      <c r="E61" s="188">
        <v>955</v>
      </c>
      <c r="F61" s="188">
        <v>1</v>
      </c>
      <c r="G61" s="188">
        <v>0</v>
      </c>
      <c r="H61" s="188">
        <v>1013</v>
      </c>
      <c r="I61" s="188">
        <v>1</v>
      </c>
      <c r="J61" s="188">
        <v>0</v>
      </c>
      <c r="K61" s="188">
        <v>137</v>
      </c>
      <c r="L61" s="188">
        <v>1613</v>
      </c>
      <c r="M61" s="188">
        <v>1750</v>
      </c>
      <c r="N61" s="188">
        <v>0</v>
      </c>
      <c r="O61" s="188">
        <v>0</v>
      </c>
      <c r="P61" s="188">
        <v>2</v>
      </c>
      <c r="Q61" s="188">
        <v>1</v>
      </c>
      <c r="R61" s="188">
        <v>2</v>
      </c>
      <c r="S61" s="188">
        <v>1</v>
      </c>
      <c r="T61" s="188">
        <v>0</v>
      </c>
      <c r="U61" s="188">
        <v>0</v>
      </c>
      <c r="V61" s="188">
        <v>0</v>
      </c>
      <c r="W61" s="189" t="s">
        <v>125</v>
      </c>
      <c r="X61" s="189" t="s">
        <v>125</v>
      </c>
      <c r="Y61" s="189" t="s">
        <v>125</v>
      </c>
      <c r="Z61" s="188">
        <v>1075</v>
      </c>
      <c r="AA61" s="188">
        <v>1075</v>
      </c>
      <c r="AB61" s="188">
        <v>0</v>
      </c>
      <c r="AC61" s="188">
        <v>244916</v>
      </c>
      <c r="AD61" s="188">
        <v>154</v>
      </c>
      <c r="AE61" s="190">
        <v>245070</v>
      </c>
      <c r="AY61" s="192"/>
      <c r="AZ61" s="192"/>
    </row>
    <row r="62" spans="1:52" s="191" customFormat="1" ht="15" customHeight="1">
      <c r="A62" s="187" t="s">
        <v>178</v>
      </c>
      <c r="B62" s="188">
        <v>7281</v>
      </c>
      <c r="C62" s="188">
        <v>67</v>
      </c>
      <c r="D62" s="188">
        <v>0</v>
      </c>
      <c r="E62" s="188">
        <v>43580</v>
      </c>
      <c r="F62" s="188">
        <v>771</v>
      </c>
      <c r="G62" s="188">
        <v>200</v>
      </c>
      <c r="H62" s="188">
        <v>50861</v>
      </c>
      <c r="I62" s="188">
        <v>838</v>
      </c>
      <c r="J62" s="188">
        <v>200</v>
      </c>
      <c r="K62" s="188">
        <v>19844</v>
      </c>
      <c r="L62" s="188">
        <v>97393</v>
      </c>
      <c r="M62" s="188">
        <v>117237</v>
      </c>
      <c r="N62" s="188">
        <v>154</v>
      </c>
      <c r="O62" s="188">
        <v>75</v>
      </c>
      <c r="P62" s="188">
        <v>2138</v>
      </c>
      <c r="Q62" s="188">
        <v>840</v>
      </c>
      <c r="R62" s="188">
        <v>2292</v>
      </c>
      <c r="S62" s="188">
        <v>915</v>
      </c>
      <c r="T62" s="188">
        <v>0</v>
      </c>
      <c r="U62" s="188">
        <v>250</v>
      </c>
      <c r="V62" s="188">
        <v>250</v>
      </c>
      <c r="W62" s="189" t="s">
        <v>125</v>
      </c>
      <c r="X62" s="189" t="s">
        <v>125</v>
      </c>
      <c r="Y62" s="189" t="s">
        <v>125</v>
      </c>
      <c r="Z62" s="188">
        <v>60735</v>
      </c>
      <c r="AA62" s="188">
        <v>60735</v>
      </c>
      <c r="AB62" s="188">
        <v>0</v>
      </c>
      <c r="AC62" s="188">
        <v>16248793</v>
      </c>
      <c r="AD62" s="188">
        <v>131957</v>
      </c>
      <c r="AE62" s="190">
        <v>16380750</v>
      </c>
      <c r="AY62" s="192"/>
      <c r="AZ62" s="192"/>
    </row>
    <row r="63" spans="1:52" s="191" customFormat="1" ht="15" customHeight="1">
      <c r="A63" s="187" t="s">
        <v>179</v>
      </c>
      <c r="B63" s="188">
        <v>276</v>
      </c>
      <c r="C63" s="188">
        <v>1</v>
      </c>
      <c r="D63" s="188">
        <v>0</v>
      </c>
      <c r="E63" s="188">
        <v>2768</v>
      </c>
      <c r="F63" s="188">
        <v>6</v>
      </c>
      <c r="G63" s="188">
        <v>3</v>
      </c>
      <c r="H63" s="188">
        <v>3044</v>
      </c>
      <c r="I63" s="188">
        <v>7</v>
      </c>
      <c r="J63" s="188">
        <v>3</v>
      </c>
      <c r="K63" s="188">
        <v>661</v>
      </c>
      <c r="L63" s="188">
        <v>4646</v>
      </c>
      <c r="M63" s="188">
        <v>5307</v>
      </c>
      <c r="N63" s="188">
        <v>5</v>
      </c>
      <c r="O63" s="188">
        <v>1</v>
      </c>
      <c r="P63" s="188">
        <v>10</v>
      </c>
      <c r="Q63" s="188">
        <v>7</v>
      </c>
      <c r="R63" s="188">
        <v>15</v>
      </c>
      <c r="S63" s="188">
        <v>8</v>
      </c>
      <c r="T63" s="188">
        <v>0</v>
      </c>
      <c r="U63" s="188">
        <v>6</v>
      </c>
      <c r="V63" s="188">
        <v>6</v>
      </c>
      <c r="W63" s="189" t="s">
        <v>125</v>
      </c>
      <c r="X63" s="189" t="s">
        <v>125</v>
      </c>
      <c r="Y63" s="189" t="s">
        <v>125</v>
      </c>
      <c r="Z63" s="188">
        <v>3212</v>
      </c>
      <c r="AA63" s="188">
        <v>3212</v>
      </c>
      <c r="AB63" s="188">
        <v>0</v>
      </c>
      <c r="AC63" s="188">
        <v>704613</v>
      </c>
      <c r="AD63" s="188">
        <v>1158</v>
      </c>
      <c r="AE63" s="190">
        <v>705771</v>
      </c>
      <c r="AY63" s="192"/>
      <c r="AZ63" s="192"/>
    </row>
    <row r="64" spans="1:52" s="191" customFormat="1" ht="15" customHeight="1">
      <c r="A64" s="187" t="s">
        <v>180</v>
      </c>
      <c r="B64" s="188">
        <v>2829</v>
      </c>
      <c r="C64" s="188">
        <v>24</v>
      </c>
      <c r="D64" s="188">
        <v>0</v>
      </c>
      <c r="E64" s="188">
        <v>33464</v>
      </c>
      <c r="F64" s="188">
        <v>318</v>
      </c>
      <c r="G64" s="188">
        <v>215</v>
      </c>
      <c r="H64" s="188">
        <v>36293</v>
      </c>
      <c r="I64" s="188">
        <v>342</v>
      </c>
      <c r="J64" s="188">
        <v>215</v>
      </c>
      <c r="K64" s="188">
        <v>7267</v>
      </c>
      <c r="L64" s="188">
        <v>65516</v>
      </c>
      <c r="M64" s="188">
        <v>72783</v>
      </c>
      <c r="N64" s="188">
        <v>49</v>
      </c>
      <c r="O64" s="188">
        <v>32</v>
      </c>
      <c r="P64" s="188">
        <v>756</v>
      </c>
      <c r="Q64" s="188">
        <v>349</v>
      </c>
      <c r="R64" s="188">
        <v>805</v>
      </c>
      <c r="S64" s="188">
        <v>381</v>
      </c>
      <c r="T64" s="188">
        <v>0</v>
      </c>
      <c r="U64" s="188">
        <v>282</v>
      </c>
      <c r="V64" s="188">
        <v>282</v>
      </c>
      <c r="W64" s="189" t="s">
        <v>125</v>
      </c>
      <c r="X64" s="189" t="s">
        <v>125</v>
      </c>
      <c r="Y64" s="189" t="s">
        <v>125</v>
      </c>
      <c r="Z64" s="188">
        <v>42168</v>
      </c>
      <c r="AA64" s="188">
        <v>42168</v>
      </c>
      <c r="AB64" s="188">
        <v>0</v>
      </c>
      <c r="AC64" s="188">
        <v>9894866</v>
      </c>
      <c r="AD64" s="188">
        <v>126307</v>
      </c>
      <c r="AE64" s="190">
        <v>10021173</v>
      </c>
      <c r="AY64" s="192"/>
      <c r="AZ64" s="192"/>
    </row>
    <row r="65" spans="1:52" s="191" customFormat="1" ht="15" customHeight="1">
      <c r="A65" s="187" t="s">
        <v>181</v>
      </c>
      <c r="B65" s="188">
        <v>857</v>
      </c>
      <c r="C65" s="188">
        <v>36</v>
      </c>
      <c r="D65" s="188">
        <v>1</v>
      </c>
      <c r="E65" s="188">
        <v>9076</v>
      </c>
      <c r="F65" s="188">
        <v>150</v>
      </c>
      <c r="G65" s="188">
        <v>58</v>
      </c>
      <c r="H65" s="188">
        <v>9933</v>
      </c>
      <c r="I65" s="188">
        <v>186</v>
      </c>
      <c r="J65" s="188">
        <v>59</v>
      </c>
      <c r="K65" s="188">
        <v>2221</v>
      </c>
      <c r="L65" s="188">
        <v>16823</v>
      </c>
      <c r="M65" s="188">
        <v>19044</v>
      </c>
      <c r="N65" s="188">
        <v>88</v>
      </c>
      <c r="O65" s="188">
        <v>54</v>
      </c>
      <c r="P65" s="188">
        <v>380</v>
      </c>
      <c r="Q65" s="188">
        <v>216</v>
      </c>
      <c r="R65" s="188">
        <v>468</v>
      </c>
      <c r="S65" s="188">
        <v>270</v>
      </c>
      <c r="T65" s="188">
        <v>5</v>
      </c>
      <c r="U65" s="188">
        <v>85</v>
      </c>
      <c r="V65" s="188">
        <v>90</v>
      </c>
      <c r="W65" s="189" t="s">
        <v>125</v>
      </c>
      <c r="X65" s="189" t="s">
        <v>125</v>
      </c>
      <c r="Y65" s="189" t="s">
        <v>125</v>
      </c>
      <c r="Z65" s="188">
        <v>11820</v>
      </c>
      <c r="AA65" s="188">
        <v>11820</v>
      </c>
      <c r="AB65" s="188">
        <v>0</v>
      </c>
      <c r="AC65" s="188">
        <v>2620125</v>
      </c>
      <c r="AD65" s="188">
        <v>42052</v>
      </c>
      <c r="AE65" s="190">
        <v>2662177</v>
      </c>
      <c r="AY65" s="192"/>
      <c r="AZ65" s="192"/>
    </row>
    <row r="66" spans="1:52" s="191" customFormat="1" ht="15" customHeight="1" thickBot="1">
      <c r="A66" s="193" t="s">
        <v>182</v>
      </c>
      <c r="B66" s="194">
        <v>784</v>
      </c>
      <c r="C66" s="194">
        <v>6</v>
      </c>
      <c r="D66" s="194">
        <v>1</v>
      </c>
      <c r="E66" s="194">
        <v>5168</v>
      </c>
      <c r="F66" s="194">
        <v>21</v>
      </c>
      <c r="G66" s="194">
        <v>3</v>
      </c>
      <c r="H66" s="194">
        <v>5952</v>
      </c>
      <c r="I66" s="194">
        <v>27</v>
      </c>
      <c r="J66" s="194">
        <v>4</v>
      </c>
      <c r="K66" s="194">
        <v>2084</v>
      </c>
      <c r="L66" s="194">
        <v>10643</v>
      </c>
      <c r="M66" s="194">
        <v>12727</v>
      </c>
      <c r="N66" s="194">
        <v>16</v>
      </c>
      <c r="O66" s="194">
        <v>7</v>
      </c>
      <c r="P66" s="194">
        <v>72</v>
      </c>
      <c r="Q66" s="194">
        <v>31</v>
      </c>
      <c r="R66" s="194">
        <v>88</v>
      </c>
      <c r="S66" s="194">
        <v>38</v>
      </c>
      <c r="T66" s="194">
        <v>1</v>
      </c>
      <c r="U66" s="194">
        <v>3</v>
      </c>
      <c r="V66" s="194">
        <v>4</v>
      </c>
      <c r="W66" s="195" t="s">
        <v>125</v>
      </c>
      <c r="X66" s="195" t="s">
        <v>125</v>
      </c>
      <c r="Y66" s="195" t="s">
        <v>125</v>
      </c>
      <c r="Z66" s="194">
        <v>6319</v>
      </c>
      <c r="AA66" s="194">
        <v>6319</v>
      </c>
      <c r="AB66" s="194">
        <v>0</v>
      </c>
      <c r="AC66" s="194">
        <v>1749672</v>
      </c>
      <c r="AD66" s="194">
        <v>4394</v>
      </c>
      <c r="AE66" s="196">
        <v>1754066</v>
      </c>
      <c r="AG66" s="197" t="s">
        <v>63</v>
      </c>
      <c r="AY66" s="192"/>
      <c r="AZ66" s="192"/>
    </row>
    <row r="67" spans="1:52" s="191" customFormat="1" ht="15.75" customHeight="1" thickTop="1">
      <c r="A67" s="198" t="s">
        <v>183</v>
      </c>
      <c r="B67" s="199">
        <f>SUBTOTAL(109,Dec16Data[Cell 1])</f>
        <v>254382</v>
      </c>
      <c r="C67" s="199">
        <f>SUBTOTAL(109,Dec16Data[Cell 2])</f>
        <v>4982</v>
      </c>
      <c r="D67" s="199">
        <f>SUBTOTAL(109,Dec16Data[Cell 3])</f>
        <v>348</v>
      </c>
      <c r="E67" s="199">
        <f>SUBTOTAL(109,Dec16Data[Cell 4])</f>
        <v>1748828</v>
      </c>
      <c r="F67" s="199">
        <f>SUBTOTAL(109,Dec16Data[Cell 5])</f>
        <v>21023</v>
      </c>
      <c r="G67" s="199">
        <f>SUBTOTAL(109,Dec16Data[Cell 6])</f>
        <v>10784</v>
      </c>
      <c r="H67" s="199">
        <f>SUBTOTAL(109,Dec16Data[Cell 15])</f>
        <v>2003210</v>
      </c>
      <c r="I67" s="199">
        <f>SUBTOTAL(109,Dec16Data[Cell 16])</f>
        <v>26005</v>
      </c>
      <c r="J67" s="199">
        <f>SUBTOTAL(109,Dec16Data[Cell 17])</f>
        <v>11132</v>
      </c>
      <c r="K67" s="199">
        <f>SUBTOTAL(109,Dec16Data[Cell 7])</f>
        <v>647970</v>
      </c>
      <c r="L67" s="199">
        <f>SUBTOTAL(109,Dec16Data[Cell 8])</f>
        <v>3485759</v>
      </c>
      <c r="M67" s="199">
        <f>SUBTOTAL(109,Dec16Data[Cell 18])</f>
        <v>4133729</v>
      </c>
      <c r="N67" s="199">
        <f>SUBTOTAL(109,Dec16Data[Cell 9])</f>
        <v>11049</v>
      </c>
      <c r="O67" s="199">
        <f>SUBTOTAL(109,Dec16Data[Cell 10])</f>
        <v>6709</v>
      </c>
      <c r="P67" s="199">
        <f>SUBTOTAL(109,Dec16Data[Cell 11])</f>
        <v>50184</v>
      </c>
      <c r="Q67" s="199">
        <f>SUBTOTAL(109,Dec16Data[Cell 12])</f>
        <v>25726</v>
      </c>
      <c r="R67" s="199">
        <f>SUBTOTAL(109,Dec16Data[Cell 19])</f>
        <v>61233</v>
      </c>
      <c r="S67" s="199">
        <f>SUBTOTAL(109,Dec16Data[Cell 20])</f>
        <v>32435</v>
      </c>
      <c r="T67" s="199">
        <f>SUBTOTAL(109,Dec16Data[Cell 13])</f>
        <v>466</v>
      </c>
      <c r="U67" s="199">
        <f>SUBTOTAL(109,Dec16Data[Cell 14])</f>
        <v>13869</v>
      </c>
      <c r="V67" s="199">
        <f>SUBTOTAL(109,Dec16Data[Cell 21])</f>
        <v>14335</v>
      </c>
      <c r="W67" s="200"/>
      <c r="X67" s="200"/>
      <c r="Y67" s="200"/>
      <c r="Z67" s="199">
        <f>SUBTOTAL(109,Dec16Data[Cell 25])</f>
        <v>2199562</v>
      </c>
      <c r="AA67" s="199">
        <f>SUBTOTAL(109,Dec16Data[Cell 26])</f>
        <v>2199562</v>
      </c>
      <c r="AB67" s="199">
        <f>SUBTOTAL(109,Dec16Data[Cell 27])</f>
        <v>0</v>
      </c>
      <c r="AC67" s="199">
        <f>SUBTOTAL(109,Dec16Data[Cell 28])</f>
        <v>582415435</v>
      </c>
      <c r="AD67" s="199">
        <f>SUBTOTAL(109,Dec16Data[Cell 29])</f>
        <v>5568023</v>
      </c>
      <c r="AE67" s="199">
        <f>SUBTOTAL(109,Dec16Data[Cell 30])</f>
        <v>587983458</v>
      </c>
      <c r="AG67" s="201">
        <v>1192930198</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4"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195</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253084</v>
      </c>
      <c r="F12" s="54">
        <v>2</v>
      </c>
      <c r="G12" s="55">
        <v>5010</v>
      </c>
      <c r="H12" s="54">
        <v>3</v>
      </c>
      <c r="I12" s="55">
        <v>348</v>
      </c>
      <c r="J12" s="54">
        <v>4</v>
      </c>
      <c r="K12" s="55">
        <v>1736514</v>
      </c>
      <c r="L12" s="54">
        <v>5</v>
      </c>
      <c r="M12" s="55">
        <v>20956</v>
      </c>
      <c r="N12" s="54">
        <v>6</v>
      </c>
      <c r="O12" s="55">
        <v>10621</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647480</v>
      </c>
      <c r="F14" s="68"/>
      <c r="G14" s="69"/>
      <c r="H14" s="68"/>
      <c r="I14" s="69"/>
      <c r="J14" s="66"/>
      <c r="K14" s="67">
        <v>3457348</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11192</v>
      </c>
      <c r="F16" s="68"/>
      <c r="G16" s="69"/>
      <c r="H16" s="66"/>
      <c r="I16" s="67">
        <v>6790</v>
      </c>
      <c r="J16" s="66"/>
      <c r="K16" s="67">
        <v>49877</v>
      </c>
      <c r="L16" s="68"/>
      <c r="M16" s="69"/>
      <c r="N16" s="66"/>
      <c r="O16" s="67">
        <v>25545</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471</v>
      </c>
      <c r="J18" s="68"/>
      <c r="K18" s="69"/>
      <c r="L18" s="68"/>
      <c r="M18" s="69"/>
      <c r="N18" s="66"/>
      <c r="O18" s="67">
        <v>13639</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1989598</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25966</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10969</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4104828</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61069</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32335</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14110</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2182239</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2182239</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573423357</v>
      </c>
    </row>
    <row r="37" spans="1:26" ht="17.25" customHeight="1">
      <c r="A37" s="97" t="s">
        <v>59</v>
      </c>
      <c r="B37" s="98" t="s">
        <v>60</v>
      </c>
      <c r="C37" s="98"/>
      <c r="D37" s="99"/>
      <c r="E37" s="98"/>
      <c r="F37" s="98"/>
      <c r="G37" s="98"/>
      <c r="H37" s="98"/>
      <c r="I37" s="98"/>
      <c r="J37" s="103"/>
      <c r="K37" s="103"/>
      <c r="L37" s="103"/>
      <c r="M37" s="103"/>
      <c r="N37" s="124">
        <v>29</v>
      </c>
      <c r="O37" s="125">
        <v>5431858</v>
      </c>
    </row>
    <row r="38" spans="1:26" ht="17.25" customHeight="1">
      <c r="A38" s="97" t="s">
        <v>61</v>
      </c>
      <c r="B38" s="98" t="s">
        <v>62</v>
      </c>
      <c r="C38" s="98"/>
      <c r="D38" s="99"/>
      <c r="E38" s="98"/>
      <c r="F38" s="98"/>
      <c r="G38" s="98"/>
      <c r="H38" s="98"/>
      <c r="I38" s="98"/>
      <c r="J38" s="103"/>
      <c r="K38" s="103"/>
      <c r="L38" s="103"/>
      <c r="M38" s="103"/>
      <c r="N38" s="126">
        <v>30</v>
      </c>
      <c r="O38" s="127">
        <v>578855215</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1174552658</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196</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195</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5603</v>
      </c>
      <c r="C9" s="188">
        <v>218</v>
      </c>
      <c r="D9" s="188">
        <v>8</v>
      </c>
      <c r="E9" s="188">
        <v>50805</v>
      </c>
      <c r="F9" s="188">
        <v>1406</v>
      </c>
      <c r="G9" s="188">
        <v>687</v>
      </c>
      <c r="H9" s="188">
        <v>56408</v>
      </c>
      <c r="I9" s="188">
        <v>1624</v>
      </c>
      <c r="J9" s="188">
        <v>695</v>
      </c>
      <c r="K9" s="188">
        <v>12774</v>
      </c>
      <c r="L9" s="188">
        <v>92385</v>
      </c>
      <c r="M9" s="188">
        <v>105159</v>
      </c>
      <c r="N9" s="188">
        <v>511</v>
      </c>
      <c r="O9" s="188">
        <v>290</v>
      </c>
      <c r="P9" s="188">
        <v>3118</v>
      </c>
      <c r="Q9" s="188">
        <v>1817</v>
      </c>
      <c r="R9" s="188">
        <v>3629</v>
      </c>
      <c r="S9" s="188">
        <v>2107</v>
      </c>
      <c r="T9" s="188">
        <v>18</v>
      </c>
      <c r="U9" s="188">
        <v>907</v>
      </c>
      <c r="V9" s="188">
        <v>925</v>
      </c>
      <c r="W9" s="189" t="s">
        <v>125</v>
      </c>
      <c r="X9" s="189" t="s">
        <v>125</v>
      </c>
      <c r="Y9" s="189" t="s">
        <v>125</v>
      </c>
      <c r="Z9" s="188">
        <v>58727</v>
      </c>
      <c r="AA9" s="188">
        <v>58727</v>
      </c>
      <c r="AB9" s="188">
        <v>0</v>
      </c>
      <c r="AC9" s="188">
        <v>15297316</v>
      </c>
      <c r="AD9" s="188">
        <v>343988</v>
      </c>
      <c r="AE9" s="190">
        <v>15641304</v>
      </c>
    </row>
    <row r="10" spans="1:52" ht="15" customHeight="1">
      <c r="A10" s="187" t="s">
        <v>126</v>
      </c>
      <c r="B10" s="188">
        <v>0</v>
      </c>
      <c r="C10" s="188">
        <v>0</v>
      </c>
      <c r="D10" s="188">
        <v>0</v>
      </c>
      <c r="E10" s="188">
        <v>86</v>
      </c>
      <c r="F10" s="188">
        <v>0</v>
      </c>
      <c r="G10" s="188">
        <v>0</v>
      </c>
      <c r="H10" s="188">
        <v>86</v>
      </c>
      <c r="I10" s="188">
        <v>0</v>
      </c>
      <c r="J10" s="188">
        <v>0</v>
      </c>
      <c r="K10" s="188">
        <v>0</v>
      </c>
      <c r="L10" s="188">
        <v>141</v>
      </c>
      <c r="M10" s="188">
        <v>141</v>
      </c>
      <c r="N10" s="188">
        <v>0</v>
      </c>
      <c r="O10" s="188">
        <v>0</v>
      </c>
      <c r="P10" s="188">
        <v>0</v>
      </c>
      <c r="Q10" s="188">
        <v>0</v>
      </c>
      <c r="R10" s="188">
        <v>0</v>
      </c>
      <c r="S10" s="188">
        <v>0</v>
      </c>
      <c r="T10" s="188">
        <v>0</v>
      </c>
      <c r="U10" s="188">
        <v>0</v>
      </c>
      <c r="V10" s="188">
        <v>0</v>
      </c>
      <c r="W10" s="189" t="s">
        <v>125</v>
      </c>
      <c r="X10" s="189" t="s">
        <v>125</v>
      </c>
      <c r="Y10" s="189" t="s">
        <v>125</v>
      </c>
      <c r="Z10" s="188">
        <v>87</v>
      </c>
      <c r="AA10" s="188">
        <v>87</v>
      </c>
      <c r="AB10" s="188">
        <v>0</v>
      </c>
      <c r="AC10" s="188">
        <v>17426</v>
      </c>
      <c r="AD10" s="188">
        <v>0</v>
      </c>
      <c r="AE10" s="190">
        <v>17426</v>
      </c>
    </row>
    <row r="11" spans="1:52" ht="15" customHeight="1">
      <c r="A11" s="187" t="s">
        <v>127</v>
      </c>
      <c r="B11" s="188">
        <v>132</v>
      </c>
      <c r="C11" s="188">
        <v>0</v>
      </c>
      <c r="D11" s="188">
        <v>0</v>
      </c>
      <c r="E11" s="188">
        <v>1567</v>
      </c>
      <c r="F11" s="188">
        <v>3</v>
      </c>
      <c r="G11" s="188">
        <v>1</v>
      </c>
      <c r="H11" s="188">
        <v>1699</v>
      </c>
      <c r="I11" s="188">
        <v>3</v>
      </c>
      <c r="J11" s="188">
        <v>1</v>
      </c>
      <c r="K11" s="188">
        <v>334</v>
      </c>
      <c r="L11" s="188">
        <v>2824</v>
      </c>
      <c r="M11" s="188">
        <v>3158</v>
      </c>
      <c r="N11" s="188">
        <v>0</v>
      </c>
      <c r="O11" s="188">
        <v>0</v>
      </c>
      <c r="P11" s="188">
        <v>0</v>
      </c>
      <c r="Q11" s="188">
        <v>3</v>
      </c>
      <c r="R11" s="188">
        <v>0</v>
      </c>
      <c r="S11" s="188">
        <v>3</v>
      </c>
      <c r="T11" s="188">
        <v>0</v>
      </c>
      <c r="U11" s="188">
        <v>1</v>
      </c>
      <c r="V11" s="188">
        <v>1</v>
      </c>
      <c r="W11" s="189" t="s">
        <v>125</v>
      </c>
      <c r="X11" s="189" t="s">
        <v>125</v>
      </c>
      <c r="Y11" s="189" t="s">
        <v>125</v>
      </c>
      <c r="Z11" s="188">
        <v>0</v>
      </c>
      <c r="AA11" s="188">
        <v>0</v>
      </c>
      <c r="AB11" s="188">
        <v>0</v>
      </c>
      <c r="AC11" s="188">
        <v>411584</v>
      </c>
      <c r="AD11" s="188">
        <v>320</v>
      </c>
      <c r="AE11" s="190">
        <v>411904</v>
      </c>
    </row>
    <row r="12" spans="1:52" ht="15" customHeight="1">
      <c r="A12" s="187" t="s">
        <v>128</v>
      </c>
      <c r="B12" s="188">
        <v>1665</v>
      </c>
      <c r="C12" s="188">
        <v>5</v>
      </c>
      <c r="D12" s="188">
        <v>0</v>
      </c>
      <c r="E12" s="188">
        <v>14841</v>
      </c>
      <c r="F12" s="188">
        <v>40</v>
      </c>
      <c r="G12" s="188">
        <v>28</v>
      </c>
      <c r="H12" s="188">
        <v>16506</v>
      </c>
      <c r="I12" s="188">
        <v>45</v>
      </c>
      <c r="J12" s="188">
        <v>28</v>
      </c>
      <c r="K12" s="188">
        <v>4093</v>
      </c>
      <c r="L12" s="188">
        <v>26797</v>
      </c>
      <c r="M12" s="188">
        <v>30890</v>
      </c>
      <c r="N12" s="188">
        <v>7</v>
      </c>
      <c r="O12" s="188">
        <v>5</v>
      </c>
      <c r="P12" s="188">
        <v>114</v>
      </c>
      <c r="Q12" s="188">
        <v>42</v>
      </c>
      <c r="R12" s="188">
        <v>121</v>
      </c>
      <c r="S12" s="188">
        <v>47</v>
      </c>
      <c r="T12" s="188">
        <v>0</v>
      </c>
      <c r="U12" s="188">
        <v>34</v>
      </c>
      <c r="V12" s="188">
        <v>34</v>
      </c>
      <c r="W12" s="189" t="s">
        <v>125</v>
      </c>
      <c r="X12" s="189" t="s">
        <v>125</v>
      </c>
      <c r="Y12" s="189" t="s">
        <v>125</v>
      </c>
      <c r="Z12" s="188">
        <v>17498</v>
      </c>
      <c r="AA12" s="188">
        <v>17498</v>
      </c>
      <c r="AB12" s="188">
        <v>0</v>
      </c>
      <c r="AC12" s="188">
        <v>4198561</v>
      </c>
      <c r="AD12" s="188">
        <v>11967</v>
      </c>
      <c r="AE12" s="190">
        <v>4210528</v>
      </c>
    </row>
    <row r="13" spans="1:52" ht="15" customHeight="1">
      <c r="A13" s="187" t="s">
        <v>129</v>
      </c>
      <c r="B13" s="188">
        <v>188</v>
      </c>
      <c r="C13" s="188">
        <v>0</v>
      </c>
      <c r="D13" s="188">
        <v>0</v>
      </c>
      <c r="E13" s="188">
        <v>2630</v>
      </c>
      <c r="F13" s="188">
        <v>8</v>
      </c>
      <c r="G13" s="188">
        <v>4</v>
      </c>
      <c r="H13" s="188">
        <v>2818</v>
      </c>
      <c r="I13" s="188">
        <v>8</v>
      </c>
      <c r="J13" s="188">
        <v>4</v>
      </c>
      <c r="K13" s="188">
        <v>505</v>
      </c>
      <c r="L13" s="188">
        <v>4561</v>
      </c>
      <c r="M13" s="188">
        <v>5066</v>
      </c>
      <c r="N13" s="188">
        <v>0</v>
      </c>
      <c r="O13" s="188">
        <v>0</v>
      </c>
      <c r="P13" s="188">
        <v>13</v>
      </c>
      <c r="Q13" s="188">
        <v>10</v>
      </c>
      <c r="R13" s="188">
        <v>13</v>
      </c>
      <c r="S13" s="188">
        <v>10</v>
      </c>
      <c r="T13" s="188">
        <v>0</v>
      </c>
      <c r="U13" s="188">
        <v>5</v>
      </c>
      <c r="V13" s="188">
        <v>5</v>
      </c>
      <c r="W13" s="189" t="s">
        <v>125</v>
      </c>
      <c r="X13" s="189" t="s">
        <v>125</v>
      </c>
      <c r="Y13" s="189" t="s">
        <v>125</v>
      </c>
      <c r="Z13" s="188">
        <v>2950</v>
      </c>
      <c r="AA13" s="188">
        <v>2950</v>
      </c>
      <c r="AB13" s="188">
        <v>0</v>
      </c>
      <c r="AC13" s="188">
        <v>666839</v>
      </c>
      <c r="AD13" s="188">
        <v>1954</v>
      </c>
      <c r="AE13" s="190">
        <v>668793</v>
      </c>
    </row>
    <row r="14" spans="1:52" ht="15" customHeight="1">
      <c r="A14" s="187" t="s">
        <v>130</v>
      </c>
      <c r="B14" s="188">
        <v>81</v>
      </c>
      <c r="C14" s="188">
        <v>1</v>
      </c>
      <c r="D14" s="188">
        <v>0</v>
      </c>
      <c r="E14" s="188">
        <v>593</v>
      </c>
      <c r="F14" s="188">
        <v>2</v>
      </c>
      <c r="G14" s="188">
        <v>1</v>
      </c>
      <c r="H14" s="188">
        <v>674</v>
      </c>
      <c r="I14" s="188">
        <v>3</v>
      </c>
      <c r="J14" s="188">
        <v>1</v>
      </c>
      <c r="K14" s="188">
        <v>207</v>
      </c>
      <c r="L14" s="188">
        <v>1371</v>
      </c>
      <c r="M14" s="188">
        <v>1578</v>
      </c>
      <c r="N14" s="188">
        <v>2</v>
      </c>
      <c r="O14" s="188">
        <v>1</v>
      </c>
      <c r="P14" s="188">
        <v>4</v>
      </c>
      <c r="Q14" s="188">
        <v>2</v>
      </c>
      <c r="R14" s="188">
        <v>6</v>
      </c>
      <c r="S14" s="188">
        <v>3</v>
      </c>
      <c r="T14" s="188">
        <v>0</v>
      </c>
      <c r="U14" s="188">
        <v>1</v>
      </c>
      <c r="V14" s="188">
        <v>1</v>
      </c>
      <c r="W14" s="189" t="s">
        <v>125</v>
      </c>
      <c r="X14" s="189" t="s">
        <v>125</v>
      </c>
      <c r="Y14" s="189" t="s">
        <v>125</v>
      </c>
      <c r="Z14" s="188">
        <v>746</v>
      </c>
      <c r="AA14" s="188">
        <v>746</v>
      </c>
      <c r="AB14" s="188">
        <v>0</v>
      </c>
      <c r="AC14" s="188">
        <v>199304</v>
      </c>
      <c r="AD14" s="188">
        <v>210</v>
      </c>
      <c r="AE14" s="190">
        <v>199514</v>
      </c>
    </row>
    <row r="15" spans="1:52" ht="15" customHeight="1">
      <c r="A15" s="187" t="s">
        <v>131</v>
      </c>
      <c r="B15" s="188">
        <v>3906</v>
      </c>
      <c r="C15" s="188">
        <v>107</v>
      </c>
      <c r="D15" s="188">
        <v>1</v>
      </c>
      <c r="E15" s="188">
        <v>27319</v>
      </c>
      <c r="F15" s="188">
        <v>383</v>
      </c>
      <c r="G15" s="188">
        <v>138</v>
      </c>
      <c r="H15" s="188">
        <v>31225</v>
      </c>
      <c r="I15" s="188">
        <v>490</v>
      </c>
      <c r="J15" s="188">
        <v>139</v>
      </c>
      <c r="K15" s="188">
        <v>8996</v>
      </c>
      <c r="L15" s="188">
        <v>52887</v>
      </c>
      <c r="M15" s="188">
        <v>61883</v>
      </c>
      <c r="N15" s="188">
        <v>256</v>
      </c>
      <c r="O15" s="188">
        <v>159</v>
      </c>
      <c r="P15" s="188">
        <v>935</v>
      </c>
      <c r="Q15" s="188">
        <v>502</v>
      </c>
      <c r="R15" s="188">
        <v>1191</v>
      </c>
      <c r="S15" s="188">
        <v>661</v>
      </c>
      <c r="T15" s="188">
        <v>1</v>
      </c>
      <c r="U15" s="188">
        <v>182</v>
      </c>
      <c r="V15" s="188">
        <v>183</v>
      </c>
      <c r="W15" s="189" t="s">
        <v>125</v>
      </c>
      <c r="X15" s="189" t="s">
        <v>125</v>
      </c>
      <c r="Y15" s="189" t="s">
        <v>125</v>
      </c>
      <c r="Z15" s="188">
        <v>37001</v>
      </c>
      <c r="AA15" s="188">
        <v>37001</v>
      </c>
      <c r="AB15" s="188">
        <v>0</v>
      </c>
      <c r="AC15" s="188">
        <v>8949155</v>
      </c>
      <c r="AD15" s="188">
        <v>86014</v>
      </c>
      <c r="AE15" s="190">
        <v>9035169</v>
      </c>
    </row>
    <row r="16" spans="1:52" s="191" customFormat="1" ht="15" customHeight="1">
      <c r="A16" s="187" t="s">
        <v>132</v>
      </c>
      <c r="B16" s="188">
        <v>370</v>
      </c>
      <c r="C16" s="188">
        <v>0</v>
      </c>
      <c r="D16" s="188">
        <v>0</v>
      </c>
      <c r="E16" s="188">
        <v>2146</v>
      </c>
      <c r="F16" s="188">
        <v>2</v>
      </c>
      <c r="G16" s="188">
        <v>0</v>
      </c>
      <c r="H16" s="188">
        <v>2516</v>
      </c>
      <c r="I16" s="188">
        <v>2</v>
      </c>
      <c r="J16" s="188">
        <v>0</v>
      </c>
      <c r="K16" s="188">
        <v>1076</v>
      </c>
      <c r="L16" s="188">
        <v>4117</v>
      </c>
      <c r="M16" s="188">
        <v>5193</v>
      </c>
      <c r="N16" s="188">
        <v>0</v>
      </c>
      <c r="O16" s="188">
        <v>0</v>
      </c>
      <c r="P16" s="188">
        <v>3</v>
      </c>
      <c r="Q16" s="188">
        <v>2</v>
      </c>
      <c r="R16" s="188">
        <v>3</v>
      </c>
      <c r="S16" s="188">
        <v>2</v>
      </c>
      <c r="T16" s="188">
        <v>0</v>
      </c>
      <c r="U16" s="188">
        <v>0</v>
      </c>
      <c r="V16" s="188">
        <v>0</v>
      </c>
      <c r="W16" s="189" t="s">
        <v>125</v>
      </c>
      <c r="X16" s="189" t="s">
        <v>125</v>
      </c>
      <c r="Y16" s="189" t="s">
        <v>125</v>
      </c>
      <c r="Z16" s="188">
        <v>2633</v>
      </c>
      <c r="AA16" s="188">
        <v>2633</v>
      </c>
      <c r="AB16" s="188">
        <v>0</v>
      </c>
      <c r="AC16" s="188">
        <v>680706</v>
      </c>
      <c r="AD16" s="188">
        <v>134</v>
      </c>
      <c r="AE16" s="190">
        <v>680840</v>
      </c>
      <c r="AY16" s="192"/>
      <c r="AZ16" s="192"/>
    </row>
    <row r="17" spans="1:52" s="191" customFormat="1" ht="15" customHeight="1">
      <c r="A17" s="187" t="s">
        <v>133</v>
      </c>
      <c r="B17" s="188">
        <v>534</v>
      </c>
      <c r="C17" s="188">
        <v>3</v>
      </c>
      <c r="D17" s="188">
        <v>0</v>
      </c>
      <c r="E17" s="188">
        <v>6408</v>
      </c>
      <c r="F17" s="188">
        <v>28</v>
      </c>
      <c r="G17" s="188">
        <v>10</v>
      </c>
      <c r="H17" s="188">
        <v>6942</v>
      </c>
      <c r="I17" s="188">
        <v>31</v>
      </c>
      <c r="J17" s="188">
        <v>10</v>
      </c>
      <c r="K17" s="188">
        <v>1307</v>
      </c>
      <c r="L17" s="188">
        <v>10941</v>
      </c>
      <c r="M17" s="188">
        <v>12248</v>
      </c>
      <c r="N17" s="188">
        <v>9</v>
      </c>
      <c r="O17" s="188">
        <v>3</v>
      </c>
      <c r="P17" s="188">
        <v>81</v>
      </c>
      <c r="Q17" s="188">
        <v>33</v>
      </c>
      <c r="R17" s="188">
        <v>90</v>
      </c>
      <c r="S17" s="188">
        <v>36</v>
      </c>
      <c r="T17" s="188">
        <v>0</v>
      </c>
      <c r="U17" s="188">
        <v>13</v>
      </c>
      <c r="V17" s="188">
        <v>13</v>
      </c>
      <c r="W17" s="189" t="s">
        <v>125</v>
      </c>
      <c r="X17" s="189" t="s">
        <v>125</v>
      </c>
      <c r="Y17" s="189" t="s">
        <v>125</v>
      </c>
      <c r="Z17" s="188">
        <v>7279</v>
      </c>
      <c r="AA17" s="188">
        <v>7279</v>
      </c>
      <c r="AB17" s="188">
        <v>0</v>
      </c>
      <c r="AC17" s="188">
        <v>1644983</v>
      </c>
      <c r="AD17" s="188">
        <v>4770</v>
      </c>
      <c r="AE17" s="190">
        <v>1649753</v>
      </c>
      <c r="AY17" s="192"/>
      <c r="AZ17" s="192"/>
    </row>
    <row r="18" spans="1:52" s="191" customFormat="1" ht="15" customHeight="1">
      <c r="A18" s="187" t="s">
        <v>134</v>
      </c>
      <c r="B18" s="188">
        <v>12245</v>
      </c>
      <c r="C18" s="188">
        <v>202</v>
      </c>
      <c r="D18" s="188">
        <v>17</v>
      </c>
      <c r="E18" s="188">
        <v>77400</v>
      </c>
      <c r="F18" s="188">
        <v>668</v>
      </c>
      <c r="G18" s="188">
        <v>206</v>
      </c>
      <c r="H18" s="188">
        <v>89645</v>
      </c>
      <c r="I18" s="188">
        <v>870</v>
      </c>
      <c r="J18" s="188">
        <v>223</v>
      </c>
      <c r="K18" s="188">
        <v>33329</v>
      </c>
      <c r="L18" s="188">
        <v>174734</v>
      </c>
      <c r="M18" s="188">
        <v>208063</v>
      </c>
      <c r="N18" s="188">
        <v>521</v>
      </c>
      <c r="O18" s="188">
        <v>238</v>
      </c>
      <c r="P18" s="188">
        <v>1821</v>
      </c>
      <c r="Q18" s="188">
        <v>770</v>
      </c>
      <c r="R18" s="188">
        <v>2342</v>
      </c>
      <c r="S18" s="188">
        <v>1008</v>
      </c>
      <c r="T18" s="188">
        <v>30</v>
      </c>
      <c r="U18" s="188">
        <v>255</v>
      </c>
      <c r="V18" s="188">
        <v>285</v>
      </c>
      <c r="W18" s="189" t="s">
        <v>125</v>
      </c>
      <c r="X18" s="189" t="s">
        <v>125</v>
      </c>
      <c r="Y18" s="189" t="s">
        <v>125</v>
      </c>
      <c r="Z18" s="188">
        <v>104697</v>
      </c>
      <c r="AA18" s="188">
        <v>104697</v>
      </c>
      <c r="AB18" s="188">
        <v>0</v>
      </c>
      <c r="AC18" s="188">
        <v>30738052</v>
      </c>
      <c r="AD18" s="188">
        <v>162705</v>
      </c>
      <c r="AE18" s="190">
        <v>30900757</v>
      </c>
      <c r="AY18" s="192"/>
      <c r="AZ18" s="192"/>
    </row>
    <row r="19" spans="1:52" s="191" customFormat="1" ht="15" customHeight="1">
      <c r="A19" s="187" t="s">
        <v>135</v>
      </c>
      <c r="B19" s="188">
        <v>210</v>
      </c>
      <c r="C19" s="188">
        <v>1</v>
      </c>
      <c r="D19" s="188">
        <v>0</v>
      </c>
      <c r="E19" s="188">
        <v>1314</v>
      </c>
      <c r="F19" s="188">
        <v>7</v>
      </c>
      <c r="G19" s="188">
        <v>0</v>
      </c>
      <c r="H19" s="188">
        <v>1524</v>
      </c>
      <c r="I19" s="188">
        <v>8</v>
      </c>
      <c r="J19" s="188">
        <v>0</v>
      </c>
      <c r="K19" s="188">
        <v>556</v>
      </c>
      <c r="L19" s="188">
        <v>2936</v>
      </c>
      <c r="M19" s="188">
        <v>3492</v>
      </c>
      <c r="N19" s="188">
        <v>2</v>
      </c>
      <c r="O19" s="188">
        <v>1</v>
      </c>
      <c r="P19" s="188">
        <v>22</v>
      </c>
      <c r="Q19" s="188">
        <v>7</v>
      </c>
      <c r="R19" s="188">
        <v>24</v>
      </c>
      <c r="S19" s="188">
        <v>8</v>
      </c>
      <c r="T19" s="188">
        <v>0</v>
      </c>
      <c r="U19" s="188">
        <v>0</v>
      </c>
      <c r="V19" s="188">
        <v>0</v>
      </c>
      <c r="W19" s="189" t="s">
        <v>125</v>
      </c>
      <c r="X19" s="189" t="s">
        <v>125</v>
      </c>
      <c r="Y19" s="189" t="s">
        <v>125</v>
      </c>
      <c r="Z19" s="188">
        <v>1659</v>
      </c>
      <c r="AA19" s="188">
        <v>1659</v>
      </c>
      <c r="AB19" s="188">
        <v>0</v>
      </c>
      <c r="AC19" s="188">
        <v>438244</v>
      </c>
      <c r="AD19" s="188">
        <v>480</v>
      </c>
      <c r="AE19" s="190">
        <v>438724</v>
      </c>
      <c r="AY19" s="192"/>
      <c r="AZ19" s="192"/>
    </row>
    <row r="20" spans="1:52" s="191" customFormat="1" ht="15" customHeight="1">
      <c r="A20" s="187" t="s">
        <v>136</v>
      </c>
      <c r="B20" s="188">
        <v>859</v>
      </c>
      <c r="C20" s="188">
        <v>2</v>
      </c>
      <c r="D20" s="188">
        <v>0</v>
      </c>
      <c r="E20" s="188">
        <v>11544</v>
      </c>
      <c r="F20" s="188">
        <v>26</v>
      </c>
      <c r="G20" s="188">
        <v>5</v>
      </c>
      <c r="H20" s="188">
        <v>12403</v>
      </c>
      <c r="I20" s="188">
        <v>28</v>
      </c>
      <c r="J20" s="188">
        <v>5</v>
      </c>
      <c r="K20" s="188">
        <v>2136</v>
      </c>
      <c r="L20" s="188">
        <v>18639</v>
      </c>
      <c r="M20" s="188">
        <v>20775</v>
      </c>
      <c r="N20" s="188">
        <v>2</v>
      </c>
      <c r="O20" s="188">
        <v>3</v>
      </c>
      <c r="P20" s="188">
        <v>57</v>
      </c>
      <c r="Q20" s="188">
        <v>31</v>
      </c>
      <c r="R20" s="188">
        <v>59</v>
      </c>
      <c r="S20" s="188">
        <v>34</v>
      </c>
      <c r="T20" s="188">
        <v>0</v>
      </c>
      <c r="U20" s="188">
        <v>7</v>
      </c>
      <c r="V20" s="188">
        <v>7</v>
      </c>
      <c r="W20" s="189" t="s">
        <v>125</v>
      </c>
      <c r="X20" s="189" t="s">
        <v>125</v>
      </c>
      <c r="Y20" s="189" t="s">
        <v>125</v>
      </c>
      <c r="Z20" s="188">
        <v>13130</v>
      </c>
      <c r="AA20" s="188">
        <v>13130</v>
      </c>
      <c r="AB20" s="188">
        <v>0</v>
      </c>
      <c r="AC20" s="188">
        <v>2909450</v>
      </c>
      <c r="AD20" s="188">
        <v>5280</v>
      </c>
      <c r="AE20" s="190">
        <v>2914730</v>
      </c>
      <c r="AY20" s="192"/>
      <c r="AZ20" s="192"/>
    </row>
    <row r="21" spans="1:52" s="191" customFormat="1" ht="15" customHeight="1">
      <c r="A21" s="187" t="s">
        <v>137</v>
      </c>
      <c r="B21" s="188">
        <v>2276</v>
      </c>
      <c r="C21" s="188">
        <v>31</v>
      </c>
      <c r="D21" s="188">
        <v>4</v>
      </c>
      <c r="E21" s="188">
        <v>14794</v>
      </c>
      <c r="F21" s="188">
        <v>334</v>
      </c>
      <c r="G21" s="188">
        <v>47</v>
      </c>
      <c r="H21" s="188">
        <v>17070</v>
      </c>
      <c r="I21" s="188">
        <v>365</v>
      </c>
      <c r="J21" s="188">
        <v>51</v>
      </c>
      <c r="K21" s="188">
        <v>6410</v>
      </c>
      <c r="L21" s="188">
        <v>34550</v>
      </c>
      <c r="M21" s="188">
        <v>40960</v>
      </c>
      <c r="N21" s="188">
        <v>85</v>
      </c>
      <c r="O21" s="188">
        <v>31</v>
      </c>
      <c r="P21" s="188">
        <v>921</v>
      </c>
      <c r="Q21" s="188">
        <v>368</v>
      </c>
      <c r="R21" s="188">
        <v>1006</v>
      </c>
      <c r="S21" s="188">
        <v>399</v>
      </c>
      <c r="T21" s="188">
        <v>5</v>
      </c>
      <c r="U21" s="188">
        <v>53</v>
      </c>
      <c r="V21" s="188">
        <v>58</v>
      </c>
      <c r="W21" s="189" t="s">
        <v>125</v>
      </c>
      <c r="X21" s="189" t="s">
        <v>125</v>
      </c>
      <c r="Y21" s="189" t="s">
        <v>125</v>
      </c>
      <c r="Z21" s="188">
        <v>18271</v>
      </c>
      <c r="AA21" s="188">
        <v>18271</v>
      </c>
      <c r="AB21" s="188">
        <v>0</v>
      </c>
      <c r="AC21" s="188">
        <v>5275693</v>
      </c>
      <c r="AD21" s="188">
        <v>44479</v>
      </c>
      <c r="AE21" s="190">
        <v>5320172</v>
      </c>
      <c r="AY21" s="192"/>
      <c r="AZ21" s="192"/>
    </row>
    <row r="22" spans="1:52" s="191" customFormat="1" ht="15" customHeight="1">
      <c r="A22" s="187" t="s">
        <v>138</v>
      </c>
      <c r="B22" s="188">
        <v>91</v>
      </c>
      <c r="C22" s="188">
        <v>0</v>
      </c>
      <c r="D22" s="188">
        <v>0</v>
      </c>
      <c r="E22" s="188">
        <v>913</v>
      </c>
      <c r="F22" s="188">
        <v>5</v>
      </c>
      <c r="G22" s="188">
        <v>2</v>
      </c>
      <c r="H22" s="188">
        <v>1004</v>
      </c>
      <c r="I22" s="188">
        <v>5</v>
      </c>
      <c r="J22" s="188">
        <v>2</v>
      </c>
      <c r="K22" s="188">
        <v>243</v>
      </c>
      <c r="L22" s="188">
        <v>1664</v>
      </c>
      <c r="M22" s="188">
        <v>1907</v>
      </c>
      <c r="N22" s="188">
        <v>0</v>
      </c>
      <c r="O22" s="188">
        <v>0</v>
      </c>
      <c r="P22" s="188">
        <v>8</v>
      </c>
      <c r="Q22" s="188">
        <v>6</v>
      </c>
      <c r="R22" s="188">
        <v>8</v>
      </c>
      <c r="S22" s="188">
        <v>6</v>
      </c>
      <c r="T22" s="188">
        <v>0</v>
      </c>
      <c r="U22" s="188">
        <v>2</v>
      </c>
      <c r="V22" s="188">
        <v>2</v>
      </c>
      <c r="W22" s="189" t="s">
        <v>125</v>
      </c>
      <c r="X22" s="189" t="s">
        <v>125</v>
      </c>
      <c r="Y22" s="189" t="s">
        <v>125</v>
      </c>
      <c r="Z22" s="188">
        <v>1062</v>
      </c>
      <c r="AA22" s="188">
        <v>1062</v>
      </c>
      <c r="AB22" s="188">
        <v>0</v>
      </c>
      <c r="AC22" s="188">
        <v>244436</v>
      </c>
      <c r="AD22" s="188">
        <v>714</v>
      </c>
      <c r="AE22" s="190">
        <v>245150</v>
      </c>
      <c r="AY22" s="192"/>
      <c r="AZ22" s="192"/>
    </row>
    <row r="23" spans="1:52" s="191" customFormat="1" ht="15" customHeight="1">
      <c r="A23" s="187" t="s">
        <v>139</v>
      </c>
      <c r="B23" s="188">
        <v>9926</v>
      </c>
      <c r="C23" s="188">
        <v>54</v>
      </c>
      <c r="D23" s="188">
        <v>0</v>
      </c>
      <c r="E23" s="188">
        <v>59170</v>
      </c>
      <c r="F23" s="188">
        <v>487</v>
      </c>
      <c r="G23" s="188">
        <v>253</v>
      </c>
      <c r="H23" s="188">
        <v>69096</v>
      </c>
      <c r="I23" s="188">
        <v>541</v>
      </c>
      <c r="J23" s="188">
        <v>253</v>
      </c>
      <c r="K23" s="188">
        <v>26492</v>
      </c>
      <c r="L23" s="188">
        <v>133816</v>
      </c>
      <c r="M23" s="188">
        <v>160308</v>
      </c>
      <c r="N23" s="188">
        <v>140</v>
      </c>
      <c r="O23" s="188">
        <v>61</v>
      </c>
      <c r="P23" s="188">
        <v>1334</v>
      </c>
      <c r="Q23" s="188">
        <v>535</v>
      </c>
      <c r="R23" s="188">
        <v>1474</v>
      </c>
      <c r="S23" s="188">
        <v>596</v>
      </c>
      <c r="T23" s="188">
        <v>0</v>
      </c>
      <c r="U23" s="188">
        <v>380</v>
      </c>
      <c r="V23" s="188">
        <v>380</v>
      </c>
      <c r="W23" s="189" t="s">
        <v>125</v>
      </c>
      <c r="X23" s="189" t="s">
        <v>125</v>
      </c>
      <c r="Y23" s="189" t="s">
        <v>125</v>
      </c>
      <c r="Z23" s="188">
        <v>73893</v>
      </c>
      <c r="AA23" s="188">
        <v>73893</v>
      </c>
      <c r="AB23" s="188">
        <v>0</v>
      </c>
      <c r="AC23" s="188">
        <v>21491855</v>
      </c>
      <c r="AD23" s="188">
        <v>132320</v>
      </c>
      <c r="AE23" s="190">
        <v>21624175</v>
      </c>
      <c r="AY23" s="192"/>
      <c r="AZ23" s="192"/>
    </row>
    <row r="24" spans="1:52" s="191" customFormat="1" ht="15" customHeight="1">
      <c r="A24" s="187" t="s">
        <v>140</v>
      </c>
      <c r="B24" s="188">
        <v>1494</v>
      </c>
      <c r="C24" s="188">
        <v>22</v>
      </c>
      <c r="D24" s="188">
        <v>0</v>
      </c>
      <c r="E24" s="188">
        <v>9148</v>
      </c>
      <c r="F24" s="188">
        <v>120</v>
      </c>
      <c r="G24" s="188">
        <v>28</v>
      </c>
      <c r="H24" s="188">
        <v>10642</v>
      </c>
      <c r="I24" s="188">
        <v>142</v>
      </c>
      <c r="J24" s="188">
        <v>28</v>
      </c>
      <c r="K24" s="188">
        <v>4100</v>
      </c>
      <c r="L24" s="188">
        <v>19871</v>
      </c>
      <c r="M24" s="188">
        <v>23971</v>
      </c>
      <c r="N24" s="188">
        <v>56</v>
      </c>
      <c r="O24" s="188">
        <v>22</v>
      </c>
      <c r="P24" s="188">
        <v>354</v>
      </c>
      <c r="Q24" s="188">
        <v>126</v>
      </c>
      <c r="R24" s="188">
        <v>410</v>
      </c>
      <c r="S24" s="188">
        <v>148</v>
      </c>
      <c r="T24" s="188">
        <v>0</v>
      </c>
      <c r="U24" s="188">
        <v>36</v>
      </c>
      <c r="V24" s="188">
        <v>36</v>
      </c>
      <c r="W24" s="189" t="s">
        <v>125</v>
      </c>
      <c r="X24" s="189" t="s">
        <v>125</v>
      </c>
      <c r="Y24" s="189" t="s">
        <v>125</v>
      </c>
      <c r="Z24" s="188">
        <v>11444</v>
      </c>
      <c r="AA24" s="188">
        <v>11444</v>
      </c>
      <c r="AB24" s="188">
        <v>0</v>
      </c>
      <c r="AC24" s="188">
        <v>3098667</v>
      </c>
      <c r="AD24" s="188">
        <v>20465</v>
      </c>
      <c r="AE24" s="190">
        <v>3119132</v>
      </c>
      <c r="AY24" s="192"/>
      <c r="AZ24" s="192"/>
    </row>
    <row r="25" spans="1:52" s="191" customFormat="1" ht="15" customHeight="1">
      <c r="A25" s="187" t="s">
        <v>141</v>
      </c>
      <c r="B25" s="188">
        <v>585</v>
      </c>
      <c r="C25" s="188">
        <v>6</v>
      </c>
      <c r="D25" s="188">
        <v>0</v>
      </c>
      <c r="E25" s="188">
        <v>5860</v>
      </c>
      <c r="F25" s="188">
        <v>23</v>
      </c>
      <c r="G25" s="188">
        <v>6</v>
      </c>
      <c r="H25" s="188">
        <v>6445</v>
      </c>
      <c r="I25" s="188">
        <v>29</v>
      </c>
      <c r="J25" s="188">
        <v>6</v>
      </c>
      <c r="K25" s="188">
        <v>1521</v>
      </c>
      <c r="L25" s="188">
        <v>10604</v>
      </c>
      <c r="M25" s="188">
        <v>12125</v>
      </c>
      <c r="N25" s="188">
        <v>18</v>
      </c>
      <c r="O25" s="188">
        <v>6</v>
      </c>
      <c r="P25" s="188">
        <v>53</v>
      </c>
      <c r="Q25" s="188">
        <v>29</v>
      </c>
      <c r="R25" s="188">
        <v>71</v>
      </c>
      <c r="S25" s="188">
        <v>35</v>
      </c>
      <c r="T25" s="188">
        <v>0</v>
      </c>
      <c r="U25" s="188">
        <v>8</v>
      </c>
      <c r="V25" s="188">
        <v>8</v>
      </c>
      <c r="W25" s="189" t="s">
        <v>125</v>
      </c>
      <c r="X25" s="189" t="s">
        <v>125</v>
      </c>
      <c r="Y25" s="189" t="s">
        <v>125</v>
      </c>
      <c r="Z25" s="188">
        <v>6832</v>
      </c>
      <c r="AA25" s="188">
        <v>6832</v>
      </c>
      <c r="AB25" s="188">
        <v>0</v>
      </c>
      <c r="AC25" s="188">
        <v>1636553</v>
      </c>
      <c r="AD25" s="188">
        <v>4373</v>
      </c>
      <c r="AE25" s="190">
        <v>1640926</v>
      </c>
      <c r="AY25" s="192"/>
      <c r="AZ25" s="192"/>
    </row>
    <row r="26" spans="1:52" s="191" customFormat="1" ht="15" customHeight="1">
      <c r="A26" s="187" t="s">
        <v>142</v>
      </c>
      <c r="B26" s="188">
        <v>236</v>
      </c>
      <c r="C26" s="188">
        <v>0</v>
      </c>
      <c r="D26" s="188">
        <v>0</v>
      </c>
      <c r="E26" s="188">
        <v>1368</v>
      </c>
      <c r="F26" s="188">
        <v>2</v>
      </c>
      <c r="G26" s="188">
        <v>0</v>
      </c>
      <c r="H26" s="188">
        <v>1604</v>
      </c>
      <c r="I26" s="188">
        <v>2</v>
      </c>
      <c r="J26" s="188">
        <v>0</v>
      </c>
      <c r="K26" s="188">
        <v>650</v>
      </c>
      <c r="L26" s="188">
        <v>2490</v>
      </c>
      <c r="M26" s="188">
        <v>3140</v>
      </c>
      <c r="N26" s="188">
        <v>0</v>
      </c>
      <c r="O26" s="188">
        <v>0</v>
      </c>
      <c r="P26" s="188">
        <v>5</v>
      </c>
      <c r="Q26" s="188">
        <v>3</v>
      </c>
      <c r="R26" s="188">
        <v>5</v>
      </c>
      <c r="S26" s="188">
        <v>3</v>
      </c>
      <c r="T26" s="188">
        <v>0</v>
      </c>
      <c r="U26" s="188">
        <v>0</v>
      </c>
      <c r="V26" s="188">
        <v>0</v>
      </c>
      <c r="W26" s="189" t="s">
        <v>125</v>
      </c>
      <c r="X26" s="189" t="s">
        <v>125</v>
      </c>
      <c r="Y26" s="189" t="s">
        <v>125</v>
      </c>
      <c r="Z26" s="188">
        <v>1699</v>
      </c>
      <c r="AA26" s="188">
        <v>1699</v>
      </c>
      <c r="AB26" s="188">
        <v>0</v>
      </c>
      <c r="AC26" s="188">
        <v>433470</v>
      </c>
      <c r="AD26" s="188">
        <v>268</v>
      </c>
      <c r="AE26" s="190">
        <v>433738</v>
      </c>
      <c r="AY26" s="192"/>
      <c r="AZ26" s="192"/>
    </row>
    <row r="27" spans="1:52" s="191" customFormat="1" ht="15" customHeight="1">
      <c r="A27" s="187" t="s">
        <v>143</v>
      </c>
      <c r="B27" s="188">
        <v>84741</v>
      </c>
      <c r="C27" s="188">
        <v>2264</v>
      </c>
      <c r="D27" s="188">
        <v>257</v>
      </c>
      <c r="E27" s="188">
        <v>444347</v>
      </c>
      <c r="F27" s="188">
        <v>5292</v>
      </c>
      <c r="G27" s="188">
        <v>3243</v>
      </c>
      <c r="H27" s="188">
        <v>529088</v>
      </c>
      <c r="I27" s="188">
        <v>7556</v>
      </c>
      <c r="J27" s="188">
        <v>3500</v>
      </c>
      <c r="K27" s="188">
        <v>206836</v>
      </c>
      <c r="L27" s="188">
        <v>853466</v>
      </c>
      <c r="M27" s="188">
        <v>1060302</v>
      </c>
      <c r="N27" s="188">
        <v>4747</v>
      </c>
      <c r="O27" s="188">
        <v>3114</v>
      </c>
      <c r="P27" s="188">
        <v>12149</v>
      </c>
      <c r="Q27" s="188">
        <v>6548</v>
      </c>
      <c r="R27" s="188">
        <v>16896</v>
      </c>
      <c r="S27" s="188">
        <v>9662</v>
      </c>
      <c r="T27" s="188">
        <v>314</v>
      </c>
      <c r="U27" s="188">
        <v>4159</v>
      </c>
      <c r="V27" s="188">
        <v>4473</v>
      </c>
      <c r="W27" s="189" t="s">
        <v>125</v>
      </c>
      <c r="X27" s="189" t="s">
        <v>125</v>
      </c>
      <c r="Y27" s="189" t="s">
        <v>125</v>
      </c>
      <c r="Z27" s="188">
        <v>571259</v>
      </c>
      <c r="AA27" s="188">
        <v>571259</v>
      </c>
      <c r="AB27" s="188">
        <v>0</v>
      </c>
      <c r="AC27" s="188">
        <v>155408530</v>
      </c>
      <c r="AD27" s="188">
        <v>1752895</v>
      </c>
      <c r="AE27" s="190">
        <v>157161425</v>
      </c>
      <c r="AY27" s="192"/>
      <c r="AZ27" s="192"/>
    </row>
    <row r="28" spans="1:52" s="191" customFormat="1" ht="15" customHeight="1">
      <c r="A28" s="187" t="s">
        <v>144</v>
      </c>
      <c r="B28" s="188">
        <v>1773</v>
      </c>
      <c r="C28" s="188">
        <v>13</v>
      </c>
      <c r="D28" s="188">
        <v>1</v>
      </c>
      <c r="E28" s="188">
        <v>9971</v>
      </c>
      <c r="F28" s="188">
        <v>63</v>
      </c>
      <c r="G28" s="188">
        <v>9</v>
      </c>
      <c r="H28" s="188">
        <v>11744</v>
      </c>
      <c r="I28" s="188">
        <v>76</v>
      </c>
      <c r="J28" s="188">
        <v>10</v>
      </c>
      <c r="K28" s="188">
        <v>7826</v>
      </c>
      <c r="L28" s="188">
        <v>23637</v>
      </c>
      <c r="M28" s="188">
        <v>31463</v>
      </c>
      <c r="N28" s="188">
        <v>41</v>
      </c>
      <c r="O28" s="188">
        <v>13</v>
      </c>
      <c r="P28" s="188">
        <v>190</v>
      </c>
      <c r="Q28" s="188">
        <v>68</v>
      </c>
      <c r="R28" s="188">
        <v>231</v>
      </c>
      <c r="S28" s="188">
        <v>81</v>
      </c>
      <c r="T28" s="188">
        <v>1</v>
      </c>
      <c r="U28" s="188">
        <v>16</v>
      </c>
      <c r="V28" s="188">
        <v>17</v>
      </c>
      <c r="W28" s="189" t="s">
        <v>125</v>
      </c>
      <c r="X28" s="189" t="s">
        <v>125</v>
      </c>
      <c r="Y28" s="189" t="s">
        <v>125</v>
      </c>
      <c r="Z28" s="188">
        <v>8892</v>
      </c>
      <c r="AA28" s="188">
        <v>8892</v>
      </c>
      <c r="AB28" s="188">
        <v>0</v>
      </c>
      <c r="AC28" s="188">
        <v>3770612</v>
      </c>
      <c r="AD28" s="188">
        <v>9375</v>
      </c>
      <c r="AE28" s="190">
        <v>3779987</v>
      </c>
      <c r="AY28" s="192"/>
      <c r="AZ28" s="192"/>
    </row>
    <row r="29" spans="1:52" s="191" customFormat="1" ht="15" customHeight="1">
      <c r="A29" s="187" t="s">
        <v>145</v>
      </c>
      <c r="B29" s="188">
        <v>525</v>
      </c>
      <c r="C29" s="188">
        <v>36</v>
      </c>
      <c r="D29" s="188">
        <v>3</v>
      </c>
      <c r="E29" s="188">
        <v>5271</v>
      </c>
      <c r="F29" s="188">
        <v>230</v>
      </c>
      <c r="G29" s="188">
        <v>65</v>
      </c>
      <c r="H29" s="188">
        <v>5796</v>
      </c>
      <c r="I29" s="188">
        <v>266</v>
      </c>
      <c r="J29" s="188">
        <v>68</v>
      </c>
      <c r="K29" s="188">
        <v>1121</v>
      </c>
      <c r="L29" s="188">
        <v>8104</v>
      </c>
      <c r="M29" s="188">
        <v>9225</v>
      </c>
      <c r="N29" s="188">
        <v>71</v>
      </c>
      <c r="O29" s="188">
        <v>41</v>
      </c>
      <c r="P29" s="188">
        <v>471</v>
      </c>
      <c r="Q29" s="188">
        <v>277</v>
      </c>
      <c r="R29" s="188">
        <v>542</v>
      </c>
      <c r="S29" s="188">
        <v>318</v>
      </c>
      <c r="T29" s="188">
        <v>3</v>
      </c>
      <c r="U29" s="188">
        <v>77</v>
      </c>
      <c r="V29" s="188">
        <v>80</v>
      </c>
      <c r="W29" s="189" t="s">
        <v>125</v>
      </c>
      <c r="X29" s="189" t="s">
        <v>125</v>
      </c>
      <c r="Y29" s="189" t="s">
        <v>125</v>
      </c>
      <c r="Z29" s="188">
        <v>6380</v>
      </c>
      <c r="AA29" s="188">
        <v>6380</v>
      </c>
      <c r="AB29" s="188">
        <v>0</v>
      </c>
      <c r="AC29" s="188">
        <v>1381505</v>
      </c>
      <c r="AD29" s="188">
        <v>32909</v>
      </c>
      <c r="AE29" s="190">
        <v>1414414</v>
      </c>
      <c r="AY29" s="192"/>
      <c r="AZ29" s="192"/>
    </row>
    <row r="30" spans="1:52" s="191" customFormat="1" ht="15" customHeight="1">
      <c r="A30" s="187" t="s">
        <v>146</v>
      </c>
      <c r="B30" s="188">
        <v>90</v>
      </c>
      <c r="C30" s="188">
        <v>0</v>
      </c>
      <c r="D30" s="188">
        <v>1</v>
      </c>
      <c r="E30" s="188">
        <v>908</v>
      </c>
      <c r="F30" s="188">
        <v>3</v>
      </c>
      <c r="G30" s="188">
        <v>1</v>
      </c>
      <c r="H30" s="188">
        <v>998</v>
      </c>
      <c r="I30" s="188">
        <v>3</v>
      </c>
      <c r="J30" s="188">
        <v>2</v>
      </c>
      <c r="K30" s="188">
        <v>239</v>
      </c>
      <c r="L30" s="188">
        <v>1608</v>
      </c>
      <c r="M30" s="188">
        <v>1847</v>
      </c>
      <c r="N30" s="188">
        <v>0</v>
      </c>
      <c r="O30" s="188">
        <v>0</v>
      </c>
      <c r="P30" s="188">
        <v>7</v>
      </c>
      <c r="Q30" s="188">
        <v>3</v>
      </c>
      <c r="R30" s="188">
        <v>7</v>
      </c>
      <c r="S30" s="188">
        <v>3</v>
      </c>
      <c r="T30" s="188">
        <v>1</v>
      </c>
      <c r="U30" s="188">
        <v>1</v>
      </c>
      <c r="V30" s="188">
        <v>2</v>
      </c>
      <c r="W30" s="189" t="s">
        <v>125</v>
      </c>
      <c r="X30" s="189" t="s">
        <v>125</v>
      </c>
      <c r="Y30" s="189" t="s">
        <v>125</v>
      </c>
      <c r="Z30" s="188">
        <v>1067</v>
      </c>
      <c r="AA30" s="188">
        <v>1067</v>
      </c>
      <c r="AB30" s="188">
        <v>0</v>
      </c>
      <c r="AC30" s="188">
        <v>252362</v>
      </c>
      <c r="AD30" s="188">
        <v>457</v>
      </c>
      <c r="AE30" s="190">
        <v>252819</v>
      </c>
      <c r="AY30" s="192"/>
      <c r="AZ30" s="192"/>
    </row>
    <row r="31" spans="1:52" s="191" customFormat="1" ht="15" customHeight="1">
      <c r="A31" s="187" t="s">
        <v>147</v>
      </c>
      <c r="B31" s="188">
        <v>549</v>
      </c>
      <c r="C31" s="188">
        <v>7</v>
      </c>
      <c r="D31" s="188">
        <v>1</v>
      </c>
      <c r="E31" s="188">
        <v>5746</v>
      </c>
      <c r="F31" s="188">
        <v>29</v>
      </c>
      <c r="G31" s="188">
        <v>9</v>
      </c>
      <c r="H31" s="188">
        <v>6295</v>
      </c>
      <c r="I31" s="188">
        <v>36</v>
      </c>
      <c r="J31" s="188">
        <v>10</v>
      </c>
      <c r="K31" s="188">
        <v>1380</v>
      </c>
      <c r="L31" s="188">
        <v>10389</v>
      </c>
      <c r="M31" s="188">
        <v>11769</v>
      </c>
      <c r="N31" s="188">
        <v>16</v>
      </c>
      <c r="O31" s="188">
        <v>7</v>
      </c>
      <c r="P31" s="188">
        <v>80</v>
      </c>
      <c r="Q31" s="188">
        <v>32</v>
      </c>
      <c r="R31" s="188">
        <v>96</v>
      </c>
      <c r="S31" s="188">
        <v>39</v>
      </c>
      <c r="T31" s="188">
        <v>1</v>
      </c>
      <c r="U31" s="188">
        <v>11</v>
      </c>
      <c r="V31" s="188">
        <v>12</v>
      </c>
      <c r="W31" s="189" t="s">
        <v>125</v>
      </c>
      <c r="X31" s="189" t="s">
        <v>125</v>
      </c>
      <c r="Y31" s="189" t="s">
        <v>125</v>
      </c>
      <c r="Z31" s="188">
        <v>6682</v>
      </c>
      <c r="AA31" s="188">
        <v>6682</v>
      </c>
      <c r="AB31" s="188">
        <v>0</v>
      </c>
      <c r="AC31" s="188">
        <v>1657078</v>
      </c>
      <c r="AD31" s="188">
        <v>7281</v>
      </c>
      <c r="AE31" s="190">
        <v>1664359</v>
      </c>
      <c r="AY31" s="192"/>
      <c r="AZ31" s="192"/>
    </row>
    <row r="32" spans="1:52" s="191" customFormat="1" ht="15" customHeight="1">
      <c r="A32" s="187" t="s">
        <v>148</v>
      </c>
      <c r="B32" s="188">
        <v>3675</v>
      </c>
      <c r="C32" s="188">
        <v>17</v>
      </c>
      <c r="D32" s="188">
        <v>1</v>
      </c>
      <c r="E32" s="188">
        <v>20002</v>
      </c>
      <c r="F32" s="188">
        <v>84</v>
      </c>
      <c r="G32" s="188">
        <v>10</v>
      </c>
      <c r="H32" s="188">
        <v>23677</v>
      </c>
      <c r="I32" s="188">
        <v>101</v>
      </c>
      <c r="J32" s="188">
        <v>11</v>
      </c>
      <c r="K32" s="188">
        <v>9816</v>
      </c>
      <c r="L32" s="188">
        <v>45078</v>
      </c>
      <c r="M32" s="188">
        <v>54894</v>
      </c>
      <c r="N32" s="188">
        <v>38</v>
      </c>
      <c r="O32" s="188">
        <v>17</v>
      </c>
      <c r="P32" s="188">
        <v>236</v>
      </c>
      <c r="Q32" s="188">
        <v>95</v>
      </c>
      <c r="R32" s="188">
        <v>274</v>
      </c>
      <c r="S32" s="188">
        <v>112</v>
      </c>
      <c r="T32" s="188">
        <v>1</v>
      </c>
      <c r="U32" s="188">
        <v>11</v>
      </c>
      <c r="V32" s="188">
        <v>12</v>
      </c>
      <c r="W32" s="189" t="s">
        <v>125</v>
      </c>
      <c r="X32" s="189" t="s">
        <v>125</v>
      </c>
      <c r="Y32" s="189" t="s">
        <v>125</v>
      </c>
      <c r="Z32" s="188">
        <v>25300</v>
      </c>
      <c r="AA32" s="188">
        <v>25300</v>
      </c>
      <c r="AB32" s="188">
        <v>0</v>
      </c>
      <c r="AC32" s="188">
        <v>7295080</v>
      </c>
      <c r="AD32" s="188">
        <v>11525</v>
      </c>
      <c r="AE32" s="190">
        <v>7306605</v>
      </c>
      <c r="AY32" s="192"/>
      <c r="AZ32" s="192"/>
    </row>
    <row r="33" spans="1:52" s="191" customFormat="1" ht="15" customHeight="1">
      <c r="A33" s="187" t="s">
        <v>149</v>
      </c>
      <c r="B33" s="188">
        <v>74</v>
      </c>
      <c r="C33" s="188">
        <v>1</v>
      </c>
      <c r="D33" s="188">
        <v>0</v>
      </c>
      <c r="E33" s="188">
        <v>475</v>
      </c>
      <c r="F33" s="188">
        <v>0</v>
      </c>
      <c r="G33" s="188">
        <v>1</v>
      </c>
      <c r="H33" s="188">
        <v>549</v>
      </c>
      <c r="I33" s="188">
        <v>1</v>
      </c>
      <c r="J33" s="188">
        <v>1</v>
      </c>
      <c r="K33" s="188">
        <v>199</v>
      </c>
      <c r="L33" s="188">
        <v>969</v>
      </c>
      <c r="M33" s="188">
        <v>1168</v>
      </c>
      <c r="N33" s="188">
        <v>1</v>
      </c>
      <c r="O33" s="188">
        <v>1</v>
      </c>
      <c r="P33" s="188">
        <v>0</v>
      </c>
      <c r="Q33" s="188">
        <v>0</v>
      </c>
      <c r="R33" s="188">
        <v>1</v>
      </c>
      <c r="S33" s="188">
        <v>1</v>
      </c>
      <c r="T33" s="188">
        <v>0</v>
      </c>
      <c r="U33" s="188">
        <v>2</v>
      </c>
      <c r="V33" s="188">
        <v>2</v>
      </c>
      <c r="W33" s="189" t="s">
        <v>125</v>
      </c>
      <c r="X33" s="189" t="s">
        <v>125</v>
      </c>
      <c r="Y33" s="189" t="s">
        <v>125</v>
      </c>
      <c r="Z33" s="188">
        <v>593</v>
      </c>
      <c r="AA33" s="188">
        <v>593</v>
      </c>
      <c r="AB33" s="188">
        <v>0</v>
      </c>
      <c r="AC33" s="188">
        <v>157105</v>
      </c>
      <c r="AD33" s="188">
        <v>493</v>
      </c>
      <c r="AE33" s="190">
        <v>157598</v>
      </c>
      <c r="AY33" s="192"/>
      <c r="AZ33" s="192"/>
    </row>
    <row r="34" spans="1:52" s="191" customFormat="1" ht="15" customHeight="1">
      <c r="A34" s="187" t="s">
        <v>150</v>
      </c>
      <c r="B34" s="188">
        <v>12</v>
      </c>
      <c r="C34" s="188">
        <v>0</v>
      </c>
      <c r="D34" s="188">
        <v>0</v>
      </c>
      <c r="E34" s="188">
        <v>449</v>
      </c>
      <c r="F34" s="188">
        <v>3</v>
      </c>
      <c r="G34" s="188">
        <v>0</v>
      </c>
      <c r="H34" s="188">
        <v>461</v>
      </c>
      <c r="I34" s="188">
        <v>3</v>
      </c>
      <c r="J34" s="188">
        <v>0</v>
      </c>
      <c r="K34" s="188">
        <v>28</v>
      </c>
      <c r="L34" s="188">
        <v>734</v>
      </c>
      <c r="M34" s="188">
        <v>762</v>
      </c>
      <c r="N34" s="188">
        <v>0</v>
      </c>
      <c r="O34" s="188">
        <v>0</v>
      </c>
      <c r="P34" s="188">
        <v>9</v>
      </c>
      <c r="Q34" s="188">
        <v>3</v>
      </c>
      <c r="R34" s="188">
        <v>9</v>
      </c>
      <c r="S34" s="188">
        <v>3</v>
      </c>
      <c r="T34" s="188">
        <v>0</v>
      </c>
      <c r="U34" s="188">
        <v>0</v>
      </c>
      <c r="V34" s="188">
        <v>0</v>
      </c>
      <c r="W34" s="189" t="s">
        <v>125</v>
      </c>
      <c r="X34" s="189" t="s">
        <v>125</v>
      </c>
      <c r="Y34" s="189" t="s">
        <v>125</v>
      </c>
      <c r="Z34" s="188">
        <v>489</v>
      </c>
      <c r="AA34" s="188">
        <v>489</v>
      </c>
      <c r="AB34" s="188">
        <v>0</v>
      </c>
      <c r="AC34" s="188">
        <v>109896</v>
      </c>
      <c r="AD34" s="188">
        <v>471</v>
      </c>
      <c r="AE34" s="190">
        <v>110367</v>
      </c>
      <c r="AY34" s="192"/>
      <c r="AZ34" s="192"/>
    </row>
    <row r="35" spans="1:52" s="191" customFormat="1" ht="15" customHeight="1">
      <c r="A35" s="187" t="s">
        <v>151</v>
      </c>
      <c r="B35" s="188">
        <v>2779</v>
      </c>
      <c r="C35" s="188">
        <v>31</v>
      </c>
      <c r="D35" s="188">
        <v>1</v>
      </c>
      <c r="E35" s="188">
        <v>19776</v>
      </c>
      <c r="F35" s="188">
        <v>253</v>
      </c>
      <c r="G35" s="188">
        <v>29</v>
      </c>
      <c r="H35" s="188">
        <v>22555</v>
      </c>
      <c r="I35" s="188">
        <v>284</v>
      </c>
      <c r="J35" s="188">
        <v>30</v>
      </c>
      <c r="K35" s="188">
        <v>7117</v>
      </c>
      <c r="L35" s="188">
        <v>42999</v>
      </c>
      <c r="M35" s="188">
        <v>50116</v>
      </c>
      <c r="N35" s="188">
        <v>81</v>
      </c>
      <c r="O35" s="188">
        <v>34</v>
      </c>
      <c r="P35" s="188">
        <v>713</v>
      </c>
      <c r="Q35" s="188">
        <v>289</v>
      </c>
      <c r="R35" s="188">
        <v>794</v>
      </c>
      <c r="S35" s="188">
        <v>323</v>
      </c>
      <c r="T35" s="188">
        <v>1</v>
      </c>
      <c r="U35" s="188">
        <v>40</v>
      </c>
      <c r="V35" s="188">
        <v>41</v>
      </c>
      <c r="W35" s="189" t="s">
        <v>125</v>
      </c>
      <c r="X35" s="189" t="s">
        <v>125</v>
      </c>
      <c r="Y35" s="189" t="s">
        <v>125</v>
      </c>
      <c r="Z35" s="188">
        <v>25642</v>
      </c>
      <c r="AA35" s="188">
        <v>25642</v>
      </c>
      <c r="AB35" s="188">
        <v>0</v>
      </c>
      <c r="AC35" s="188">
        <v>7069669</v>
      </c>
      <c r="AD35" s="188">
        <v>38454</v>
      </c>
      <c r="AE35" s="190">
        <v>7108123</v>
      </c>
      <c r="AY35" s="192"/>
      <c r="AZ35" s="192"/>
    </row>
    <row r="36" spans="1:52" s="191" customFormat="1" ht="15" customHeight="1">
      <c r="A36" s="187" t="s">
        <v>152</v>
      </c>
      <c r="B36" s="188">
        <v>299</v>
      </c>
      <c r="C36" s="188">
        <v>10</v>
      </c>
      <c r="D36" s="188">
        <v>0</v>
      </c>
      <c r="E36" s="188">
        <v>3023</v>
      </c>
      <c r="F36" s="188">
        <v>43</v>
      </c>
      <c r="G36" s="188">
        <v>5</v>
      </c>
      <c r="H36" s="188">
        <v>3322</v>
      </c>
      <c r="I36" s="188">
        <v>53</v>
      </c>
      <c r="J36" s="188">
        <v>5</v>
      </c>
      <c r="K36" s="188">
        <v>729</v>
      </c>
      <c r="L36" s="188">
        <v>5939</v>
      </c>
      <c r="M36" s="188">
        <v>6668</v>
      </c>
      <c r="N36" s="188">
        <v>27</v>
      </c>
      <c r="O36" s="188">
        <v>11</v>
      </c>
      <c r="P36" s="188">
        <v>119</v>
      </c>
      <c r="Q36" s="188">
        <v>49</v>
      </c>
      <c r="R36" s="188">
        <v>146</v>
      </c>
      <c r="S36" s="188">
        <v>60</v>
      </c>
      <c r="T36" s="188">
        <v>0</v>
      </c>
      <c r="U36" s="188">
        <v>5</v>
      </c>
      <c r="V36" s="188">
        <v>5</v>
      </c>
      <c r="W36" s="189" t="s">
        <v>125</v>
      </c>
      <c r="X36" s="189" t="s">
        <v>125</v>
      </c>
      <c r="Y36" s="189" t="s">
        <v>125</v>
      </c>
      <c r="Z36" s="188">
        <v>3610</v>
      </c>
      <c r="AA36" s="188">
        <v>3610</v>
      </c>
      <c r="AB36" s="188">
        <v>0</v>
      </c>
      <c r="AC36" s="188">
        <v>846550</v>
      </c>
      <c r="AD36" s="188">
        <v>4395</v>
      </c>
      <c r="AE36" s="190">
        <v>850945</v>
      </c>
      <c r="AY36" s="192"/>
      <c r="AZ36" s="192"/>
    </row>
    <row r="37" spans="1:52" s="191" customFormat="1" ht="15" customHeight="1">
      <c r="A37" s="187" t="s">
        <v>153</v>
      </c>
      <c r="B37" s="188">
        <v>243</v>
      </c>
      <c r="C37" s="188">
        <v>1</v>
      </c>
      <c r="D37" s="188">
        <v>0</v>
      </c>
      <c r="E37" s="188">
        <v>3963</v>
      </c>
      <c r="F37" s="188">
        <v>8</v>
      </c>
      <c r="G37" s="188">
        <v>0</v>
      </c>
      <c r="H37" s="188">
        <v>4206</v>
      </c>
      <c r="I37" s="188">
        <v>9</v>
      </c>
      <c r="J37" s="188">
        <v>0</v>
      </c>
      <c r="K37" s="188">
        <v>596</v>
      </c>
      <c r="L37" s="188">
        <v>6706</v>
      </c>
      <c r="M37" s="188">
        <v>7302</v>
      </c>
      <c r="N37" s="188">
        <v>2</v>
      </c>
      <c r="O37" s="188">
        <v>1</v>
      </c>
      <c r="P37" s="188">
        <v>22</v>
      </c>
      <c r="Q37" s="188">
        <v>9</v>
      </c>
      <c r="R37" s="188">
        <v>24</v>
      </c>
      <c r="S37" s="188">
        <v>10</v>
      </c>
      <c r="T37" s="188">
        <v>0</v>
      </c>
      <c r="U37" s="188">
        <v>0</v>
      </c>
      <c r="V37" s="188">
        <v>0</v>
      </c>
      <c r="W37" s="189" t="s">
        <v>125</v>
      </c>
      <c r="X37" s="189" t="s">
        <v>125</v>
      </c>
      <c r="Y37" s="189" t="s">
        <v>125</v>
      </c>
      <c r="Z37" s="188">
        <v>4409</v>
      </c>
      <c r="AA37" s="188">
        <v>4409</v>
      </c>
      <c r="AB37" s="188">
        <v>0</v>
      </c>
      <c r="AC37" s="188">
        <v>990551</v>
      </c>
      <c r="AD37" s="188">
        <v>822</v>
      </c>
      <c r="AE37" s="190">
        <v>991373</v>
      </c>
      <c r="AY37" s="192"/>
      <c r="AZ37" s="192"/>
    </row>
    <row r="38" spans="1:52" s="191" customFormat="1" ht="15" customHeight="1">
      <c r="A38" s="187" t="s">
        <v>154</v>
      </c>
      <c r="B38" s="188">
        <v>10161</v>
      </c>
      <c r="C38" s="188">
        <v>214</v>
      </c>
      <c r="D38" s="188">
        <v>3</v>
      </c>
      <c r="E38" s="188">
        <v>106806</v>
      </c>
      <c r="F38" s="188">
        <v>2083</v>
      </c>
      <c r="G38" s="188">
        <v>1101</v>
      </c>
      <c r="H38" s="188">
        <v>116967</v>
      </c>
      <c r="I38" s="188">
        <v>2297</v>
      </c>
      <c r="J38" s="188">
        <v>1104</v>
      </c>
      <c r="K38" s="188">
        <v>26119</v>
      </c>
      <c r="L38" s="188">
        <v>210246</v>
      </c>
      <c r="M38" s="188">
        <v>236365</v>
      </c>
      <c r="N38" s="188">
        <v>462</v>
      </c>
      <c r="O38" s="188">
        <v>303</v>
      </c>
      <c r="P38" s="188">
        <v>4485</v>
      </c>
      <c r="Q38" s="188">
        <v>2611</v>
      </c>
      <c r="R38" s="188">
        <v>4947</v>
      </c>
      <c r="S38" s="188">
        <v>2914</v>
      </c>
      <c r="T38" s="188">
        <v>6</v>
      </c>
      <c r="U38" s="188">
        <v>1491</v>
      </c>
      <c r="V38" s="188">
        <v>1497</v>
      </c>
      <c r="W38" s="189" t="s">
        <v>125</v>
      </c>
      <c r="X38" s="189" t="s">
        <v>125</v>
      </c>
      <c r="Y38" s="189" t="s">
        <v>125</v>
      </c>
      <c r="Z38" s="188">
        <v>126125</v>
      </c>
      <c r="AA38" s="188">
        <v>126125</v>
      </c>
      <c r="AB38" s="188">
        <v>0</v>
      </c>
      <c r="AC38" s="188">
        <v>32346690</v>
      </c>
      <c r="AD38" s="188">
        <v>499258</v>
      </c>
      <c r="AE38" s="190">
        <v>32845948</v>
      </c>
      <c r="AY38" s="192"/>
      <c r="AZ38" s="192"/>
    </row>
    <row r="39" spans="1:52" s="191" customFormat="1" ht="15" customHeight="1">
      <c r="A39" s="187" t="s">
        <v>155</v>
      </c>
      <c r="B39" s="188">
        <v>671</v>
      </c>
      <c r="C39" s="188">
        <v>8</v>
      </c>
      <c r="D39" s="188">
        <v>2</v>
      </c>
      <c r="E39" s="188">
        <v>8125</v>
      </c>
      <c r="F39" s="188">
        <v>45</v>
      </c>
      <c r="G39" s="188">
        <v>26</v>
      </c>
      <c r="H39" s="188">
        <v>8796</v>
      </c>
      <c r="I39" s="188">
        <v>53</v>
      </c>
      <c r="J39" s="188">
        <v>28</v>
      </c>
      <c r="K39" s="188">
        <v>1702</v>
      </c>
      <c r="L39" s="188">
        <v>14713</v>
      </c>
      <c r="M39" s="188">
        <v>16415</v>
      </c>
      <c r="N39" s="188">
        <v>16</v>
      </c>
      <c r="O39" s="188">
        <v>11</v>
      </c>
      <c r="P39" s="188">
        <v>107</v>
      </c>
      <c r="Q39" s="188">
        <v>55</v>
      </c>
      <c r="R39" s="188">
        <v>123</v>
      </c>
      <c r="S39" s="188">
        <v>66</v>
      </c>
      <c r="T39" s="188">
        <v>7</v>
      </c>
      <c r="U39" s="188">
        <v>41</v>
      </c>
      <c r="V39" s="188">
        <v>48</v>
      </c>
      <c r="W39" s="189" t="s">
        <v>125</v>
      </c>
      <c r="X39" s="189" t="s">
        <v>125</v>
      </c>
      <c r="Y39" s="189" t="s">
        <v>125</v>
      </c>
      <c r="Z39" s="188">
        <v>9278</v>
      </c>
      <c r="AA39" s="188">
        <v>9278</v>
      </c>
      <c r="AB39" s="188">
        <v>0</v>
      </c>
      <c r="AC39" s="188">
        <v>2121692</v>
      </c>
      <c r="AD39" s="188">
        <v>12636</v>
      </c>
      <c r="AE39" s="190">
        <v>2134328</v>
      </c>
      <c r="AY39" s="192"/>
      <c r="AZ39" s="192"/>
    </row>
    <row r="40" spans="1:52" s="191" customFormat="1" ht="15" customHeight="1">
      <c r="A40" s="187" t="s">
        <v>156</v>
      </c>
      <c r="B40" s="188">
        <v>86</v>
      </c>
      <c r="C40" s="188">
        <v>0</v>
      </c>
      <c r="D40" s="188">
        <v>0</v>
      </c>
      <c r="E40" s="188">
        <v>1083</v>
      </c>
      <c r="F40" s="188">
        <v>1</v>
      </c>
      <c r="G40" s="188">
        <v>0</v>
      </c>
      <c r="H40" s="188">
        <v>1169</v>
      </c>
      <c r="I40" s="188">
        <v>1</v>
      </c>
      <c r="J40" s="188">
        <v>0</v>
      </c>
      <c r="K40" s="188">
        <v>225</v>
      </c>
      <c r="L40" s="188">
        <v>1917</v>
      </c>
      <c r="M40" s="188">
        <v>2142</v>
      </c>
      <c r="N40" s="188">
        <v>0</v>
      </c>
      <c r="O40" s="188">
        <v>0</v>
      </c>
      <c r="P40" s="188">
        <v>1</v>
      </c>
      <c r="Q40" s="188">
        <v>0</v>
      </c>
      <c r="R40" s="188">
        <v>1</v>
      </c>
      <c r="S40" s="188">
        <v>0</v>
      </c>
      <c r="T40" s="188">
        <v>0</v>
      </c>
      <c r="U40" s="188">
        <v>0</v>
      </c>
      <c r="V40" s="188">
        <v>0</v>
      </c>
      <c r="W40" s="189" t="s">
        <v>125</v>
      </c>
      <c r="X40" s="189" t="s">
        <v>125</v>
      </c>
      <c r="Y40" s="189" t="s">
        <v>125</v>
      </c>
      <c r="Z40" s="188">
        <v>1237</v>
      </c>
      <c r="AA40" s="188">
        <v>1237</v>
      </c>
      <c r="AB40" s="188">
        <v>0</v>
      </c>
      <c r="AC40" s="188">
        <v>298033</v>
      </c>
      <c r="AD40" s="188">
        <v>138</v>
      </c>
      <c r="AE40" s="190">
        <v>298171</v>
      </c>
      <c r="AY40" s="192"/>
      <c r="AZ40" s="192"/>
    </row>
    <row r="41" spans="1:52" s="191" customFormat="1" ht="15" customHeight="1">
      <c r="A41" s="187" t="s">
        <v>157</v>
      </c>
      <c r="B41" s="188">
        <v>14760</v>
      </c>
      <c r="C41" s="188">
        <v>104</v>
      </c>
      <c r="D41" s="188">
        <v>10</v>
      </c>
      <c r="E41" s="188">
        <v>109609</v>
      </c>
      <c r="F41" s="188">
        <v>816</v>
      </c>
      <c r="G41" s="188">
        <v>184</v>
      </c>
      <c r="H41" s="188">
        <v>124369</v>
      </c>
      <c r="I41" s="188">
        <v>920</v>
      </c>
      <c r="J41" s="188">
        <v>194</v>
      </c>
      <c r="K41" s="188">
        <v>39691</v>
      </c>
      <c r="L41" s="188">
        <v>235205</v>
      </c>
      <c r="M41" s="188">
        <v>274896</v>
      </c>
      <c r="N41" s="188">
        <v>252</v>
      </c>
      <c r="O41" s="188">
        <v>133</v>
      </c>
      <c r="P41" s="188">
        <v>2274</v>
      </c>
      <c r="Q41" s="188">
        <v>904</v>
      </c>
      <c r="R41" s="188">
        <v>2526</v>
      </c>
      <c r="S41" s="188">
        <v>1037</v>
      </c>
      <c r="T41" s="188">
        <v>13</v>
      </c>
      <c r="U41" s="188">
        <v>238</v>
      </c>
      <c r="V41" s="188">
        <v>251</v>
      </c>
      <c r="W41" s="189" t="s">
        <v>125</v>
      </c>
      <c r="X41" s="189" t="s">
        <v>125</v>
      </c>
      <c r="Y41" s="189" t="s">
        <v>125</v>
      </c>
      <c r="Z41" s="188">
        <v>131138</v>
      </c>
      <c r="AA41" s="188">
        <v>131138</v>
      </c>
      <c r="AB41" s="188">
        <v>0</v>
      </c>
      <c r="AC41" s="188">
        <v>36578794</v>
      </c>
      <c r="AD41" s="188">
        <v>129573</v>
      </c>
      <c r="AE41" s="190">
        <v>36708367</v>
      </c>
      <c r="AY41" s="192"/>
      <c r="AZ41" s="192"/>
    </row>
    <row r="42" spans="1:52" s="191" customFormat="1" ht="15" customHeight="1">
      <c r="A42" s="187" t="s">
        <v>158</v>
      </c>
      <c r="B42" s="188">
        <v>13885</v>
      </c>
      <c r="C42" s="188">
        <v>604</v>
      </c>
      <c r="D42" s="188">
        <v>9</v>
      </c>
      <c r="E42" s="188">
        <v>83416</v>
      </c>
      <c r="F42" s="188">
        <v>1113</v>
      </c>
      <c r="G42" s="188">
        <v>566</v>
      </c>
      <c r="H42" s="188">
        <v>97301</v>
      </c>
      <c r="I42" s="188">
        <v>1717</v>
      </c>
      <c r="J42" s="188">
        <v>575</v>
      </c>
      <c r="K42" s="188">
        <v>35762</v>
      </c>
      <c r="L42" s="188">
        <v>165340</v>
      </c>
      <c r="M42" s="188">
        <v>201102</v>
      </c>
      <c r="N42" s="188">
        <v>1420</v>
      </c>
      <c r="O42" s="188">
        <v>1000</v>
      </c>
      <c r="P42" s="188">
        <v>2531</v>
      </c>
      <c r="Q42" s="188">
        <v>1597</v>
      </c>
      <c r="R42" s="188">
        <v>3951</v>
      </c>
      <c r="S42" s="188">
        <v>2597</v>
      </c>
      <c r="T42" s="188">
        <v>17</v>
      </c>
      <c r="U42" s="188">
        <v>741</v>
      </c>
      <c r="V42" s="188">
        <v>758</v>
      </c>
      <c r="W42" s="189" t="s">
        <v>125</v>
      </c>
      <c r="X42" s="189" t="s">
        <v>125</v>
      </c>
      <c r="Y42" s="189" t="s">
        <v>125</v>
      </c>
      <c r="Z42" s="188">
        <v>114770</v>
      </c>
      <c r="AA42" s="188">
        <v>114770</v>
      </c>
      <c r="AB42" s="188">
        <v>0</v>
      </c>
      <c r="AC42" s="188">
        <v>29029961</v>
      </c>
      <c r="AD42" s="188">
        <v>394434</v>
      </c>
      <c r="AE42" s="190">
        <v>29424395</v>
      </c>
      <c r="AY42" s="192"/>
      <c r="AZ42" s="192"/>
    </row>
    <row r="43" spans="1:52" s="191" customFormat="1" ht="15" customHeight="1">
      <c r="A43" s="187" t="s">
        <v>159</v>
      </c>
      <c r="B43" s="188">
        <v>256</v>
      </c>
      <c r="C43" s="188">
        <v>1</v>
      </c>
      <c r="D43" s="188">
        <v>0</v>
      </c>
      <c r="E43" s="188">
        <v>2052</v>
      </c>
      <c r="F43" s="188">
        <v>20</v>
      </c>
      <c r="G43" s="188">
        <v>1</v>
      </c>
      <c r="H43" s="188">
        <v>2308</v>
      </c>
      <c r="I43" s="188">
        <v>21</v>
      </c>
      <c r="J43" s="188">
        <v>1</v>
      </c>
      <c r="K43" s="188">
        <v>688</v>
      </c>
      <c r="L43" s="188">
        <v>4455</v>
      </c>
      <c r="M43" s="188">
        <v>5143</v>
      </c>
      <c r="N43" s="188">
        <v>4</v>
      </c>
      <c r="O43" s="188">
        <v>1</v>
      </c>
      <c r="P43" s="188">
        <v>54</v>
      </c>
      <c r="Q43" s="188">
        <v>22</v>
      </c>
      <c r="R43" s="188">
        <v>58</v>
      </c>
      <c r="S43" s="188">
        <v>23</v>
      </c>
      <c r="T43" s="188">
        <v>0</v>
      </c>
      <c r="U43" s="188">
        <v>1</v>
      </c>
      <c r="V43" s="188">
        <v>1</v>
      </c>
      <c r="W43" s="189" t="s">
        <v>125</v>
      </c>
      <c r="X43" s="189" t="s">
        <v>125</v>
      </c>
      <c r="Y43" s="189" t="s">
        <v>125</v>
      </c>
      <c r="Z43" s="188">
        <v>2484</v>
      </c>
      <c r="AA43" s="188">
        <v>2484</v>
      </c>
      <c r="AB43" s="188">
        <v>0</v>
      </c>
      <c r="AC43" s="188">
        <v>674780</v>
      </c>
      <c r="AD43" s="188">
        <v>2247</v>
      </c>
      <c r="AE43" s="190">
        <v>677027</v>
      </c>
      <c r="AY43" s="192"/>
      <c r="AZ43" s="192"/>
    </row>
    <row r="44" spans="1:52" s="191" customFormat="1" ht="15" customHeight="1">
      <c r="A44" s="187" t="s">
        <v>160</v>
      </c>
      <c r="B44" s="188">
        <v>23855</v>
      </c>
      <c r="C44" s="188">
        <v>155</v>
      </c>
      <c r="D44" s="188">
        <v>7</v>
      </c>
      <c r="E44" s="188">
        <v>145934</v>
      </c>
      <c r="F44" s="188">
        <v>907</v>
      </c>
      <c r="G44" s="188">
        <v>356</v>
      </c>
      <c r="H44" s="188">
        <v>169789</v>
      </c>
      <c r="I44" s="188">
        <v>1062</v>
      </c>
      <c r="J44" s="188">
        <v>363</v>
      </c>
      <c r="K44" s="188">
        <v>62759</v>
      </c>
      <c r="L44" s="188">
        <v>307131</v>
      </c>
      <c r="M44" s="188">
        <v>369890</v>
      </c>
      <c r="N44" s="188">
        <v>402</v>
      </c>
      <c r="O44" s="188">
        <v>177</v>
      </c>
      <c r="P44" s="188">
        <v>2364</v>
      </c>
      <c r="Q44" s="188">
        <v>1082</v>
      </c>
      <c r="R44" s="188">
        <v>2766</v>
      </c>
      <c r="S44" s="188">
        <v>1259</v>
      </c>
      <c r="T44" s="188">
        <v>10</v>
      </c>
      <c r="U44" s="188">
        <v>462</v>
      </c>
      <c r="V44" s="188">
        <v>472</v>
      </c>
      <c r="W44" s="189" t="s">
        <v>125</v>
      </c>
      <c r="X44" s="189" t="s">
        <v>125</v>
      </c>
      <c r="Y44" s="189" t="s">
        <v>125</v>
      </c>
      <c r="Z44" s="188">
        <v>178602</v>
      </c>
      <c r="AA44" s="188">
        <v>178602</v>
      </c>
      <c r="AB44" s="188">
        <v>0</v>
      </c>
      <c r="AC44" s="188">
        <v>50193559</v>
      </c>
      <c r="AD44" s="188">
        <v>184769</v>
      </c>
      <c r="AE44" s="190">
        <v>50378328</v>
      </c>
      <c r="AY44" s="192"/>
      <c r="AZ44" s="192"/>
    </row>
    <row r="45" spans="1:52" s="191" customFormat="1" ht="15" customHeight="1">
      <c r="A45" s="187" t="s">
        <v>161</v>
      </c>
      <c r="B45" s="188">
        <v>12333</v>
      </c>
      <c r="C45" s="188">
        <v>301</v>
      </c>
      <c r="D45" s="188">
        <v>5</v>
      </c>
      <c r="E45" s="188">
        <v>121819</v>
      </c>
      <c r="F45" s="188">
        <v>1749</v>
      </c>
      <c r="G45" s="188">
        <v>740</v>
      </c>
      <c r="H45" s="188">
        <v>134152</v>
      </c>
      <c r="I45" s="188">
        <v>2050</v>
      </c>
      <c r="J45" s="188">
        <v>745</v>
      </c>
      <c r="K45" s="188">
        <v>33952</v>
      </c>
      <c r="L45" s="188">
        <v>235333</v>
      </c>
      <c r="M45" s="188">
        <v>269285</v>
      </c>
      <c r="N45" s="188">
        <v>645</v>
      </c>
      <c r="O45" s="188">
        <v>396</v>
      </c>
      <c r="P45" s="188">
        <v>4059</v>
      </c>
      <c r="Q45" s="188">
        <v>2036</v>
      </c>
      <c r="R45" s="188">
        <v>4704</v>
      </c>
      <c r="S45" s="188">
        <v>2432</v>
      </c>
      <c r="T45" s="188">
        <v>13</v>
      </c>
      <c r="U45" s="188">
        <v>930</v>
      </c>
      <c r="V45" s="188">
        <v>943</v>
      </c>
      <c r="W45" s="189" t="s">
        <v>125</v>
      </c>
      <c r="X45" s="189" t="s">
        <v>125</v>
      </c>
      <c r="Y45" s="189" t="s">
        <v>125</v>
      </c>
      <c r="Z45" s="188">
        <v>159445</v>
      </c>
      <c r="AA45" s="188">
        <v>159445</v>
      </c>
      <c r="AB45" s="188">
        <v>0</v>
      </c>
      <c r="AC45" s="188">
        <v>36195773</v>
      </c>
      <c r="AD45" s="188">
        <v>367442</v>
      </c>
      <c r="AE45" s="190">
        <v>36563215</v>
      </c>
      <c r="AY45" s="192"/>
      <c r="AZ45" s="192"/>
    </row>
    <row r="46" spans="1:52" s="191" customFormat="1" ht="15" customHeight="1">
      <c r="A46" s="187" t="s">
        <v>162</v>
      </c>
      <c r="B46" s="188">
        <v>1967</v>
      </c>
      <c r="C46" s="188">
        <v>113</v>
      </c>
      <c r="D46" s="188">
        <v>9</v>
      </c>
      <c r="E46" s="188">
        <v>30186</v>
      </c>
      <c r="F46" s="188">
        <v>820</v>
      </c>
      <c r="G46" s="188">
        <v>1183</v>
      </c>
      <c r="H46" s="188">
        <v>32153</v>
      </c>
      <c r="I46" s="188">
        <v>933</v>
      </c>
      <c r="J46" s="188">
        <v>1192</v>
      </c>
      <c r="K46" s="188">
        <v>4262</v>
      </c>
      <c r="L46" s="188">
        <v>43671</v>
      </c>
      <c r="M46" s="188">
        <v>47933</v>
      </c>
      <c r="N46" s="188">
        <v>196</v>
      </c>
      <c r="O46" s="188">
        <v>134</v>
      </c>
      <c r="P46" s="188">
        <v>1541</v>
      </c>
      <c r="Q46" s="188">
        <v>1032</v>
      </c>
      <c r="R46" s="188">
        <v>1737</v>
      </c>
      <c r="S46" s="188">
        <v>1166</v>
      </c>
      <c r="T46" s="188">
        <v>16</v>
      </c>
      <c r="U46" s="188">
        <v>1254</v>
      </c>
      <c r="V46" s="188">
        <v>1270</v>
      </c>
      <c r="W46" s="189" t="s">
        <v>125</v>
      </c>
      <c r="X46" s="189" t="s">
        <v>125</v>
      </c>
      <c r="Y46" s="189" t="s">
        <v>125</v>
      </c>
      <c r="Z46" s="188">
        <v>37218</v>
      </c>
      <c r="AA46" s="188">
        <v>37218</v>
      </c>
      <c r="AB46" s="188">
        <v>0</v>
      </c>
      <c r="AC46" s="188">
        <v>7096766</v>
      </c>
      <c r="AD46" s="188">
        <v>305739</v>
      </c>
      <c r="AE46" s="190">
        <v>7402505</v>
      </c>
      <c r="AY46" s="192"/>
      <c r="AZ46" s="192"/>
    </row>
    <row r="47" spans="1:52" s="191" customFormat="1" ht="15" customHeight="1">
      <c r="A47" s="187" t="s">
        <v>163</v>
      </c>
      <c r="B47" s="188">
        <v>6753</v>
      </c>
      <c r="C47" s="188">
        <v>57</v>
      </c>
      <c r="D47" s="188">
        <v>1</v>
      </c>
      <c r="E47" s="188">
        <v>42288</v>
      </c>
      <c r="F47" s="188">
        <v>435</v>
      </c>
      <c r="G47" s="188">
        <v>154</v>
      </c>
      <c r="H47" s="188">
        <v>49041</v>
      </c>
      <c r="I47" s="188">
        <v>492</v>
      </c>
      <c r="J47" s="188">
        <v>155</v>
      </c>
      <c r="K47" s="188">
        <v>16746</v>
      </c>
      <c r="L47" s="188">
        <v>92493</v>
      </c>
      <c r="M47" s="188">
        <v>109239</v>
      </c>
      <c r="N47" s="188">
        <v>147</v>
      </c>
      <c r="O47" s="188">
        <v>69</v>
      </c>
      <c r="P47" s="188">
        <v>1226</v>
      </c>
      <c r="Q47" s="188">
        <v>535</v>
      </c>
      <c r="R47" s="188">
        <v>1373</v>
      </c>
      <c r="S47" s="188">
        <v>604</v>
      </c>
      <c r="T47" s="188">
        <v>1</v>
      </c>
      <c r="U47" s="188">
        <v>214</v>
      </c>
      <c r="V47" s="188">
        <v>215</v>
      </c>
      <c r="W47" s="189" t="s">
        <v>125</v>
      </c>
      <c r="X47" s="189" t="s">
        <v>125</v>
      </c>
      <c r="Y47" s="189" t="s">
        <v>125</v>
      </c>
      <c r="Z47" s="188">
        <v>51977</v>
      </c>
      <c r="AA47" s="188">
        <v>51977</v>
      </c>
      <c r="AB47" s="188">
        <v>0</v>
      </c>
      <c r="AC47" s="188">
        <v>14620613</v>
      </c>
      <c r="AD47" s="188">
        <v>90685</v>
      </c>
      <c r="AE47" s="190">
        <v>14711298</v>
      </c>
      <c r="AY47" s="192"/>
      <c r="AZ47" s="192"/>
    </row>
    <row r="48" spans="1:52" s="191" customFormat="1" ht="15" customHeight="1">
      <c r="A48" s="187" t="s">
        <v>164</v>
      </c>
      <c r="B48" s="188">
        <v>867</v>
      </c>
      <c r="C48" s="188">
        <v>7</v>
      </c>
      <c r="D48" s="188">
        <v>0</v>
      </c>
      <c r="E48" s="188">
        <v>8779</v>
      </c>
      <c r="F48" s="188">
        <v>37</v>
      </c>
      <c r="G48" s="188">
        <v>7</v>
      </c>
      <c r="H48" s="188">
        <v>9646</v>
      </c>
      <c r="I48" s="188">
        <v>44</v>
      </c>
      <c r="J48" s="188">
        <v>7</v>
      </c>
      <c r="K48" s="188">
        <v>2161</v>
      </c>
      <c r="L48" s="188">
        <v>15034</v>
      </c>
      <c r="M48" s="188">
        <v>17195</v>
      </c>
      <c r="N48" s="188">
        <v>20</v>
      </c>
      <c r="O48" s="188">
        <v>9</v>
      </c>
      <c r="P48" s="188">
        <v>103</v>
      </c>
      <c r="Q48" s="188">
        <v>44</v>
      </c>
      <c r="R48" s="188">
        <v>123</v>
      </c>
      <c r="S48" s="188">
        <v>53</v>
      </c>
      <c r="T48" s="188">
        <v>0</v>
      </c>
      <c r="U48" s="188">
        <v>8</v>
      </c>
      <c r="V48" s="188">
        <v>8</v>
      </c>
      <c r="W48" s="189" t="s">
        <v>125</v>
      </c>
      <c r="X48" s="189" t="s">
        <v>125</v>
      </c>
      <c r="Y48" s="189" t="s">
        <v>125</v>
      </c>
      <c r="Z48" s="188">
        <v>10261</v>
      </c>
      <c r="AA48" s="188">
        <v>10261</v>
      </c>
      <c r="AB48" s="188">
        <v>0</v>
      </c>
      <c r="AC48" s="188">
        <v>2325644</v>
      </c>
      <c r="AD48" s="188">
        <v>5059</v>
      </c>
      <c r="AE48" s="190">
        <v>2330703</v>
      </c>
      <c r="AY48" s="192"/>
      <c r="AZ48" s="192"/>
    </row>
    <row r="49" spans="1:52" s="191" customFormat="1" ht="15" customHeight="1">
      <c r="A49" s="187" t="s">
        <v>165</v>
      </c>
      <c r="B49" s="188">
        <v>757</v>
      </c>
      <c r="C49" s="188">
        <v>28</v>
      </c>
      <c r="D49" s="188">
        <v>0</v>
      </c>
      <c r="E49" s="188">
        <v>12920</v>
      </c>
      <c r="F49" s="188">
        <v>409</v>
      </c>
      <c r="G49" s="188">
        <v>148</v>
      </c>
      <c r="H49" s="188">
        <v>13677</v>
      </c>
      <c r="I49" s="188">
        <v>437</v>
      </c>
      <c r="J49" s="188">
        <v>148</v>
      </c>
      <c r="K49" s="188">
        <v>1777</v>
      </c>
      <c r="L49" s="188">
        <v>24102</v>
      </c>
      <c r="M49" s="188">
        <v>25879</v>
      </c>
      <c r="N49" s="188">
        <v>62</v>
      </c>
      <c r="O49" s="188">
        <v>29</v>
      </c>
      <c r="P49" s="188">
        <v>960</v>
      </c>
      <c r="Q49" s="188">
        <v>497</v>
      </c>
      <c r="R49" s="188">
        <v>1022</v>
      </c>
      <c r="S49" s="188">
        <v>526</v>
      </c>
      <c r="T49" s="188">
        <v>0</v>
      </c>
      <c r="U49" s="188">
        <v>196</v>
      </c>
      <c r="V49" s="188">
        <v>196</v>
      </c>
      <c r="W49" s="189" t="s">
        <v>125</v>
      </c>
      <c r="X49" s="189" t="s">
        <v>125</v>
      </c>
      <c r="Y49" s="189" t="s">
        <v>125</v>
      </c>
      <c r="Z49" s="188">
        <v>16535</v>
      </c>
      <c r="AA49" s="188">
        <v>16535</v>
      </c>
      <c r="AB49" s="188">
        <v>0</v>
      </c>
      <c r="AC49" s="188">
        <v>3527428</v>
      </c>
      <c r="AD49" s="188">
        <v>63157</v>
      </c>
      <c r="AE49" s="190">
        <v>3590585</v>
      </c>
      <c r="AY49" s="192"/>
      <c r="AZ49" s="192"/>
    </row>
    <row r="50" spans="1:52" s="191" customFormat="1" ht="15" customHeight="1">
      <c r="A50" s="187" t="s">
        <v>166</v>
      </c>
      <c r="B50" s="188">
        <v>2366</v>
      </c>
      <c r="C50" s="188">
        <v>22</v>
      </c>
      <c r="D50" s="188">
        <v>0</v>
      </c>
      <c r="E50" s="188">
        <v>16461</v>
      </c>
      <c r="F50" s="188">
        <v>141</v>
      </c>
      <c r="G50" s="188">
        <v>66</v>
      </c>
      <c r="H50" s="188">
        <v>18827</v>
      </c>
      <c r="I50" s="188">
        <v>163</v>
      </c>
      <c r="J50" s="188">
        <v>66</v>
      </c>
      <c r="K50" s="188">
        <v>6094</v>
      </c>
      <c r="L50" s="188">
        <v>32587</v>
      </c>
      <c r="M50" s="188">
        <v>38681</v>
      </c>
      <c r="N50" s="188">
        <v>53</v>
      </c>
      <c r="O50" s="188">
        <v>24</v>
      </c>
      <c r="P50" s="188">
        <v>371</v>
      </c>
      <c r="Q50" s="188">
        <v>146</v>
      </c>
      <c r="R50" s="188">
        <v>424</v>
      </c>
      <c r="S50" s="188">
        <v>170</v>
      </c>
      <c r="T50" s="188">
        <v>0</v>
      </c>
      <c r="U50" s="188">
        <v>82</v>
      </c>
      <c r="V50" s="188">
        <v>82</v>
      </c>
      <c r="W50" s="189" t="s">
        <v>125</v>
      </c>
      <c r="X50" s="189" t="s">
        <v>125</v>
      </c>
      <c r="Y50" s="189" t="s">
        <v>125</v>
      </c>
      <c r="Z50" s="188">
        <v>22553</v>
      </c>
      <c r="AA50" s="188">
        <v>22553</v>
      </c>
      <c r="AB50" s="188">
        <v>0</v>
      </c>
      <c r="AC50" s="188">
        <v>5353042</v>
      </c>
      <c r="AD50" s="188">
        <v>29973</v>
      </c>
      <c r="AE50" s="190">
        <v>5383015</v>
      </c>
      <c r="AY50" s="192"/>
      <c r="AZ50" s="192"/>
    </row>
    <row r="51" spans="1:52" s="191" customFormat="1" ht="15" customHeight="1">
      <c r="A51" s="187" t="s">
        <v>167</v>
      </c>
      <c r="B51" s="188">
        <v>4032</v>
      </c>
      <c r="C51" s="188">
        <v>97</v>
      </c>
      <c r="D51" s="188">
        <v>3</v>
      </c>
      <c r="E51" s="188">
        <v>44469</v>
      </c>
      <c r="F51" s="188">
        <v>834</v>
      </c>
      <c r="G51" s="188">
        <v>636</v>
      </c>
      <c r="H51" s="188">
        <v>48501</v>
      </c>
      <c r="I51" s="188">
        <v>931</v>
      </c>
      <c r="J51" s="188">
        <v>639</v>
      </c>
      <c r="K51" s="188">
        <v>9763</v>
      </c>
      <c r="L51" s="188">
        <v>84399</v>
      </c>
      <c r="M51" s="188">
        <v>94162</v>
      </c>
      <c r="N51" s="188">
        <v>217</v>
      </c>
      <c r="O51" s="188">
        <v>118</v>
      </c>
      <c r="P51" s="188">
        <v>1803</v>
      </c>
      <c r="Q51" s="188">
        <v>1067</v>
      </c>
      <c r="R51" s="188">
        <v>2020</v>
      </c>
      <c r="S51" s="188">
        <v>1185</v>
      </c>
      <c r="T51" s="188">
        <v>3</v>
      </c>
      <c r="U51" s="188">
        <v>921</v>
      </c>
      <c r="V51" s="188">
        <v>924</v>
      </c>
      <c r="W51" s="189" t="s">
        <v>125</v>
      </c>
      <c r="X51" s="189" t="s">
        <v>125</v>
      </c>
      <c r="Y51" s="189" t="s">
        <v>125</v>
      </c>
      <c r="Z51" s="188">
        <v>52335</v>
      </c>
      <c r="AA51" s="188">
        <v>52335</v>
      </c>
      <c r="AB51" s="188">
        <v>0</v>
      </c>
      <c r="AC51" s="188">
        <v>12907542</v>
      </c>
      <c r="AD51" s="188">
        <v>235240</v>
      </c>
      <c r="AE51" s="190">
        <v>13142782</v>
      </c>
      <c r="AY51" s="192"/>
      <c r="AZ51" s="192"/>
    </row>
    <row r="52" spans="1:52" s="191" customFormat="1" ht="15" customHeight="1">
      <c r="A52" s="187" t="s">
        <v>168</v>
      </c>
      <c r="B52" s="188">
        <v>1090</v>
      </c>
      <c r="C52" s="188">
        <v>5</v>
      </c>
      <c r="D52" s="188">
        <v>0</v>
      </c>
      <c r="E52" s="188">
        <v>13505</v>
      </c>
      <c r="F52" s="188">
        <v>42</v>
      </c>
      <c r="G52" s="188">
        <v>11</v>
      </c>
      <c r="H52" s="188">
        <v>14595</v>
      </c>
      <c r="I52" s="188">
        <v>47</v>
      </c>
      <c r="J52" s="188">
        <v>11</v>
      </c>
      <c r="K52" s="188">
        <v>2730</v>
      </c>
      <c r="L52" s="188">
        <v>23956</v>
      </c>
      <c r="M52" s="188">
        <v>26686</v>
      </c>
      <c r="N52" s="188">
        <v>13</v>
      </c>
      <c r="O52" s="188">
        <v>5</v>
      </c>
      <c r="P52" s="188">
        <v>101</v>
      </c>
      <c r="Q52" s="188">
        <v>49</v>
      </c>
      <c r="R52" s="188">
        <v>114</v>
      </c>
      <c r="S52" s="188">
        <v>54</v>
      </c>
      <c r="T52" s="188">
        <v>0</v>
      </c>
      <c r="U52" s="188">
        <v>15</v>
      </c>
      <c r="V52" s="188">
        <v>15</v>
      </c>
      <c r="W52" s="189" t="s">
        <v>125</v>
      </c>
      <c r="X52" s="189" t="s">
        <v>125</v>
      </c>
      <c r="Y52" s="189" t="s">
        <v>125</v>
      </c>
      <c r="Z52" s="188">
        <v>16848</v>
      </c>
      <c r="AA52" s="188">
        <v>16848</v>
      </c>
      <c r="AB52" s="188">
        <v>0</v>
      </c>
      <c r="AC52" s="188">
        <v>3675319</v>
      </c>
      <c r="AD52" s="188">
        <v>6682</v>
      </c>
      <c r="AE52" s="190">
        <v>3682001</v>
      </c>
      <c r="AY52" s="192"/>
      <c r="AZ52" s="192"/>
    </row>
    <row r="53" spans="1:52" s="191" customFormat="1" ht="15" customHeight="1">
      <c r="A53" s="187" t="s">
        <v>169</v>
      </c>
      <c r="B53" s="188">
        <v>1222</v>
      </c>
      <c r="C53" s="188">
        <v>6</v>
      </c>
      <c r="D53" s="188">
        <v>0</v>
      </c>
      <c r="E53" s="188">
        <v>11284</v>
      </c>
      <c r="F53" s="188">
        <v>25</v>
      </c>
      <c r="G53" s="188">
        <v>18</v>
      </c>
      <c r="H53" s="188">
        <v>12506</v>
      </c>
      <c r="I53" s="188">
        <v>31</v>
      </c>
      <c r="J53" s="188">
        <v>18</v>
      </c>
      <c r="K53" s="188">
        <v>2953</v>
      </c>
      <c r="L53" s="188">
        <v>20624</v>
      </c>
      <c r="M53" s="188">
        <v>23577</v>
      </c>
      <c r="N53" s="188">
        <v>15</v>
      </c>
      <c r="O53" s="188">
        <v>6</v>
      </c>
      <c r="P53" s="188">
        <v>62</v>
      </c>
      <c r="Q53" s="188">
        <v>27</v>
      </c>
      <c r="R53" s="188">
        <v>77</v>
      </c>
      <c r="S53" s="188">
        <v>33</v>
      </c>
      <c r="T53" s="188">
        <v>0</v>
      </c>
      <c r="U53" s="188">
        <v>20</v>
      </c>
      <c r="V53" s="188">
        <v>20</v>
      </c>
      <c r="W53" s="189" t="s">
        <v>125</v>
      </c>
      <c r="X53" s="189" t="s">
        <v>125</v>
      </c>
      <c r="Y53" s="189" t="s">
        <v>125</v>
      </c>
      <c r="Z53" s="188">
        <v>13167</v>
      </c>
      <c r="AA53" s="188">
        <v>13167</v>
      </c>
      <c r="AB53" s="188">
        <v>0</v>
      </c>
      <c r="AC53" s="188">
        <v>3062884</v>
      </c>
      <c r="AD53" s="188">
        <v>5787</v>
      </c>
      <c r="AE53" s="190">
        <v>3068671</v>
      </c>
      <c r="AY53" s="192"/>
      <c r="AZ53" s="192"/>
    </row>
    <row r="54" spans="1:52" s="191" customFormat="1" ht="15" customHeight="1">
      <c r="A54" s="187" t="s">
        <v>170</v>
      </c>
      <c r="B54" s="188">
        <v>16</v>
      </c>
      <c r="C54" s="188">
        <v>0</v>
      </c>
      <c r="D54" s="188">
        <v>0</v>
      </c>
      <c r="E54" s="188">
        <v>151</v>
      </c>
      <c r="F54" s="188">
        <v>0</v>
      </c>
      <c r="G54" s="188">
        <v>0</v>
      </c>
      <c r="H54" s="188">
        <v>167</v>
      </c>
      <c r="I54" s="188">
        <v>0</v>
      </c>
      <c r="J54" s="188">
        <v>0</v>
      </c>
      <c r="K54" s="188">
        <v>44</v>
      </c>
      <c r="L54" s="188">
        <v>251</v>
      </c>
      <c r="M54" s="188">
        <v>295</v>
      </c>
      <c r="N54" s="188">
        <v>0</v>
      </c>
      <c r="O54" s="188">
        <v>0</v>
      </c>
      <c r="P54" s="188">
        <v>0</v>
      </c>
      <c r="Q54" s="188">
        <v>0</v>
      </c>
      <c r="R54" s="188">
        <v>0</v>
      </c>
      <c r="S54" s="188">
        <v>0</v>
      </c>
      <c r="T54" s="188">
        <v>0</v>
      </c>
      <c r="U54" s="188">
        <v>0</v>
      </c>
      <c r="V54" s="188">
        <v>0</v>
      </c>
      <c r="W54" s="189" t="s">
        <v>125</v>
      </c>
      <c r="X54" s="189" t="s">
        <v>125</v>
      </c>
      <c r="Y54" s="189" t="s">
        <v>125</v>
      </c>
      <c r="Z54" s="188">
        <v>184</v>
      </c>
      <c r="AA54" s="188">
        <v>184</v>
      </c>
      <c r="AB54" s="188">
        <v>0</v>
      </c>
      <c r="AC54" s="188">
        <v>38652</v>
      </c>
      <c r="AD54" s="188">
        <v>0</v>
      </c>
      <c r="AE54" s="190">
        <v>38652</v>
      </c>
      <c r="AY54" s="192"/>
      <c r="AZ54" s="192"/>
    </row>
    <row r="55" spans="1:52" s="191" customFormat="1" ht="15" customHeight="1">
      <c r="A55" s="187" t="s">
        <v>171</v>
      </c>
      <c r="B55" s="188">
        <v>379</v>
      </c>
      <c r="C55" s="188">
        <v>1</v>
      </c>
      <c r="D55" s="188">
        <v>0</v>
      </c>
      <c r="E55" s="188">
        <v>2732</v>
      </c>
      <c r="F55" s="188">
        <v>8</v>
      </c>
      <c r="G55" s="188">
        <v>2</v>
      </c>
      <c r="H55" s="188">
        <v>3111</v>
      </c>
      <c r="I55" s="188">
        <v>9</v>
      </c>
      <c r="J55" s="188">
        <v>2</v>
      </c>
      <c r="K55" s="188">
        <v>1016</v>
      </c>
      <c r="L55" s="188">
        <v>5546</v>
      </c>
      <c r="M55" s="188">
        <v>6562</v>
      </c>
      <c r="N55" s="188">
        <v>2</v>
      </c>
      <c r="O55" s="188">
        <v>1</v>
      </c>
      <c r="P55" s="188">
        <v>27</v>
      </c>
      <c r="Q55" s="188">
        <v>10</v>
      </c>
      <c r="R55" s="188">
        <v>29</v>
      </c>
      <c r="S55" s="188">
        <v>11</v>
      </c>
      <c r="T55" s="188">
        <v>0</v>
      </c>
      <c r="U55" s="188">
        <v>3</v>
      </c>
      <c r="V55" s="188">
        <v>3</v>
      </c>
      <c r="W55" s="189" t="s">
        <v>125</v>
      </c>
      <c r="X55" s="189" t="s">
        <v>125</v>
      </c>
      <c r="Y55" s="189" t="s">
        <v>125</v>
      </c>
      <c r="Z55" s="188">
        <v>3375</v>
      </c>
      <c r="AA55" s="188">
        <v>3375</v>
      </c>
      <c r="AB55" s="188">
        <v>0</v>
      </c>
      <c r="AC55" s="188">
        <v>874388</v>
      </c>
      <c r="AD55" s="188">
        <v>1900</v>
      </c>
      <c r="AE55" s="190">
        <v>876288</v>
      </c>
      <c r="AY55" s="192"/>
      <c r="AZ55" s="192"/>
    </row>
    <row r="56" spans="1:52" s="191" customFormat="1" ht="15" customHeight="1">
      <c r="A56" s="187" t="s">
        <v>172</v>
      </c>
      <c r="B56" s="188">
        <v>2436</v>
      </c>
      <c r="C56" s="188">
        <v>18</v>
      </c>
      <c r="D56" s="188">
        <v>1</v>
      </c>
      <c r="E56" s="188">
        <v>18742</v>
      </c>
      <c r="F56" s="188">
        <v>154</v>
      </c>
      <c r="G56" s="188">
        <v>64</v>
      </c>
      <c r="H56" s="188">
        <v>21178</v>
      </c>
      <c r="I56" s="188">
        <v>172</v>
      </c>
      <c r="J56" s="188">
        <v>65</v>
      </c>
      <c r="K56" s="188">
        <v>5778</v>
      </c>
      <c r="L56" s="188">
        <v>33913</v>
      </c>
      <c r="M56" s="188">
        <v>39691</v>
      </c>
      <c r="N56" s="188">
        <v>48</v>
      </c>
      <c r="O56" s="188">
        <v>21</v>
      </c>
      <c r="P56" s="188">
        <v>355</v>
      </c>
      <c r="Q56" s="188">
        <v>177</v>
      </c>
      <c r="R56" s="188">
        <v>403</v>
      </c>
      <c r="S56" s="188">
        <v>198</v>
      </c>
      <c r="T56" s="188">
        <v>2</v>
      </c>
      <c r="U56" s="188">
        <v>87</v>
      </c>
      <c r="V56" s="188">
        <v>89</v>
      </c>
      <c r="W56" s="189" t="s">
        <v>125</v>
      </c>
      <c r="X56" s="189" t="s">
        <v>125</v>
      </c>
      <c r="Y56" s="189" t="s">
        <v>125</v>
      </c>
      <c r="Z56" s="188">
        <v>22602</v>
      </c>
      <c r="AA56" s="188">
        <v>22602</v>
      </c>
      <c r="AB56" s="188">
        <v>0</v>
      </c>
      <c r="AC56" s="188">
        <v>5602837</v>
      </c>
      <c r="AD56" s="188">
        <v>34525</v>
      </c>
      <c r="AE56" s="190">
        <v>5637362</v>
      </c>
      <c r="AY56" s="192"/>
      <c r="AZ56" s="192"/>
    </row>
    <row r="57" spans="1:52" s="191" customFormat="1" ht="15" customHeight="1">
      <c r="A57" s="187" t="s">
        <v>173</v>
      </c>
      <c r="B57" s="188">
        <v>1370</v>
      </c>
      <c r="C57" s="188">
        <v>37</v>
      </c>
      <c r="D57" s="188">
        <v>1</v>
      </c>
      <c r="E57" s="188">
        <v>15904</v>
      </c>
      <c r="F57" s="188">
        <v>231</v>
      </c>
      <c r="G57" s="188">
        <v>51</v>
      </c>
      <c r="H57" s="188">
        <v>17274</v>
      </c>
      <c r="I57" s="188">
        <v>268</v>
      </c>
      <c r="J57" s="188">
        <v>52</v>
      </c>
      <c r="K57" s="188">
        <v>3284</v>
      </c>
      <c r="L57" s="188">
        <v>26989</v>
      </c>
      <c r="M57" s="188">
        <v>30273</v>
      </c>
      <c r="N57" s="188">
        <v>91</v>
      </c>
      <c r="O57" s="188">
        <v>43</v>
      </c>
      <c r="P57" s="188">
        <v>551</v>
      </c>
      <c r="Q57" s="188">
        <v>245</v>
      </c>
      <c r="R57" s="188">
        <v>642</v>
      </c>
      <c r="S57" s="188">
        <v>288</v>
      </c>
      <c r="T57" s="188">
        <v>1</v>
      </c>
      <c r="U57" s="188">
        <v>67</v>
      </c>
      <c r="V57" s="188">
        <v>68</v>
      </c>
      <c r="W57" s="189" t="s">
        <v>125</v>
      </c>
      <c r="X57" s="189" t="s">
        <v>125</v>
      </c>
      <c r="Y57" s="189" t="s">
        <v>125</v>
      </c>
      <c r="Z57" s="188">
        <v>19922</v>
      </c>
      <c r="AA57" s="188">
        <v>19922</v>
      </c>
      <c r="AB57" s="188">
        <v>0</v>
      </c>
      <c r="AC57" s="188">
        <v>4109171</v>
      </c>
      <c r="AD57" s="188">
        <v>33305</v>
      </c>
      <c r="AE57" s="190">
        <v>4142476</v>
      </c>
      <c r="AY57" s="192"/>
      <c r="AZ57" s="192"/>
    </row>
    <row r="58" spans="1:52" s="191" customFormat="1" ht="15" customHeight="1">
      <c r="A58" s="187" t="s">
        <v>174</v>
      </c>
      <c r="B58" s="188">
        <v>5318</v>
      </c>
      <c r="C58" s="188">
        <v>42</v>
      </c>
      <c r="D58" s="188">
        <v>0</v>
      </c>
      <c r="E58" s="188">
        <v>34906</v>
      </c>
      <c r="F58" s="188">
        <v>172</v>
      </c>
      <c r="G58" s="188">
        <v>25</v>
      </c>
      <c r="H58" s="188">
        <v>40224</v>
      </c>
      <c r="I58" s="188">
        <v>214</v>
      </c>
      <c r="J58" s="188">
        <v>25</v>
      </c>
      <c r="K58" s="188">
        <v>13742</v>
      </c>
      <c r="L58" s="188">
        <v>70329</v>
      </c>
      <c r="M58" s="188">
        <v>84071</v>
      </c>
      <c r="N58" s="188">
        <v>116</v>
      </c>
      <c r="O58" s="188">
        <v>49</v>
      </c>
      <c r="P58" s="188">
        <v>501</v>
      </c>
      <c r="Q58" s="188">
        <v>197</v>
      </c>
      <c r="R58" s="188">
        <v>617</v>
      </c>
      <c r="S58" s="188">
        <v>246</v>
      </c>
      <c r="T58" s="188">
        <v>0</v>
      </c>
      <c r="U58" s="188">
        <v>32</v>
      </c>
      <c r="V58" s="188">
        <v>32</v>
      </c>
      <c r="W58" s="189" t="s">
        <v>125</v>
      </c>
      <c r="X58" s="189" t="s">
        <v>125</v>
      </c>
      <c r="Y58" s="189" t="s">
        <v>125</v>
      </c>
      <c r="Z58" s="188">
        <v>42070</v>
      </c>
      <c r="AA58" s="188">
        <v>42070</v>
      </c>
      <c r="AB58" s="188">
        <v>0</v>
      </c>
      <c r="AC58" s="188">
        <v>11307078</v>
      </c>
      <c r="AD58" s="188">
        <v>25906</v>
      </c>
      <c r="AE58" s="190">
        <v>11332984</v>
      </c>
      <c r="AY58" s="192"/>
      <c r="AZ58" s="192"/>
    </row>
    <row r="59" spans="1:52" s="191" customFormat="1" ht="15" customHeight="1">
      <c r="A59" s="187" t="s">
        <v>216</v>
      </c>
      <c r="B59" s="188">
        <v>698</v>
      </c>
      <c r="C59" s="188">
        <v>16</v>
      </c>
      <c r="D59" s="188">
        <v>0</v>
      </c>
      <c r="E59" s="188">
        <v>4861</v>
      </c>
      <c r="F59" s="188">
        <v>47</v>
      </c>
      <c r="G59" s="188">
        <v>15</v>
      </c>
      <c r="H59" s="188">
        <v>5559</v>
      </c>
      <c r="I59" s="188">
        <v>63</v>
      </c>
      <c r="J59" s="188">
        <v>15</v>
      </c>
      <c r="K59" s="188">
        <v>1858</v>
      </c>
      <c r="L59" s="188">
        <v>10783</v>
      </c>
      <c r="M59" s="188">
        <v>12641</v>
      </c>
      <c r="N59" s="188">
        <v>39</v>
      </c>
      <c r="O59" s="188">
        <v>18</v>
      </c>
      <c r="P59" s="188">
        <v>135</v>
      </c>
      <c r="Q59" s="188">
        <v>57</v>
      </c>
      <c r="R59" s="188">
        <v>174</v>
      </c>
      <c r="S59" s="188">
        <v>75</v>
      </c>
      <c r="T59" s="188">
        <v>0</v>
      </c>
      <c r="U59" s="188">
        <v>22</v>
      </c>
      <c r="V59" s="188">
        <v>22</v>
      </c>
      <c r="W59" s="189" t="s">
        <v>125</v>
      </c>
      <c r="X59" s="189" t="s">
        <v>125</v>
      </c>
      <c r="Y59" s="189" t="s">
        <v>125</v>
      </c>
      <c r="Z59" s="188">
        <v>5938</v>
      </c>
      <c r="AA59" s="188">
        <v>5938</v>
      </c>
      <c r="AB59" s="188">
        <v>0</v>
      </c>
      <c r="AC59" s="188">
        <v>1707437</v>
      </c>
      <c r="AD59" s="188">
        <v>11105</v>
      </c>
      <c r="AE59" s="190">
        <v>1718542</v>
      </c>
      <c r="AY59" s="192"/>
      <c r="AZ59" s="192"/>
    </row>
    <row r="60" spans="1:52" s="191" customFormat="1" ht="15" customHeight="1">
      <c r="A60" s="187" t="s">
        <v>176</v>
      </c>
      <c r="B60" s="188">
        <v>475</v>
      </c>
      <c r="C60" s="188">
        <v>0</v>
      </c>
      <c r="D60" s="188">
        <v>0</v>
      </c>
      <c r="E60" s="188">
        <v>3832</v>
      </c>
      <c r="F60" s="188">
        <v>24</v>
      </c>
      <c r="G60" s="188">
        <v>2</v>
      </c>
      <c r="H60" s="188">
        <v>4307</v>
      </c>
      <c r="I60" s="188">
        <v>24</v>
      </c>
      <c r="J60" s="188">
        <v>2</v>
      </c>
      <c r="K60" s="188">
        <v>1250</v>
      </c>
      <c r="L60" s="188">
        <v>8031</v>
      </c>
      <c r="M60" s="188">
        <v>9281</v>
      </c>
      <c r="N60" s="188">
        <v>0</v>
      </c>
      <c r="O60" s="188">
        <v>0</v>
      </c>
      <c r="P60" s="188">
        <v>68</v>
      </c>
      <c r="Q60" s="188">
        <v>29</v>
      </c>
      <c r="R60" s="188">
        <v>68</v>
      </c>
      <c r="S60" s="188">
        <v>29</v>
      </c>
      <c r="T60" s="188">
        <v>0</v>
      </c>
      <c r="U60" s="188">
        <v>3</v>
      </c>
      <c r="V60" s="188">
        <v>3</v>
      </c>
      <c r="W60" s="189" t="s">
        <v>125</v>
      </c>
      <c r="X60" s="189" t="s">
        <v>125</v>
      </c>
      <c r="Y60" s="189" t="s">
        <v>125</v>
      </c>
      <c r="Z60" s="188">
        <v>4600</v>
      </c>
      <c r="AA60" s="188">
        <v>4600</v>
      </c>
      <c r="AB60" s="188">
        <v>0</v>
      </c>
      <c r="AC60" s="188">
        <v>1193343</v>
      </c>
      <c r="AD60" s="188">
        <v>4182</v>
      </c>
      <c r="AE60" s="190">
        <v>1197525</v>
      </c>
      <c r="AY60" s="192"/>
      <c r="AZ60" s="192"/>
    </row>
    <row r="61" spans="1:52" s="191" customFormat="1" ht="15" customHeight="1">
      <c r="A61" s="187" t="s">
        <v>177</v>
      </c>
      <c r="B61" s="188">
        <v>60</v>
      </c>
      <c r="C61" s="188">
        <v>0</v>
      </c>
      <c r="D61" s="188">
        <v>0</v>
      </c>
      <c r="E61" s="188">
        <v>925</v>
      </c>
      <c r="F61" s="188">
        <v>1</v>
      </c>
      <c r="G61" s="188">
        <v>0</v>
      </c>
      <c r="H61" s="188">
        <v>985</v>
      </c>
      <c r="I61" s="188">
        <v>1</v>
      </c>
      <c r="J61" s="188">
        <v>0</v>
      </c>
      <c r="K61" s="188">
        <v>139</v>
      </c>
      <c r="L61" s="188">
        <v>1569</v>
      </c>
      <c r="M61" s="188">
        <v>1708</v>
      </c>
      <c r="N61" s="188">
        <v>0</v>
      </c>
      <c r="O61" s="188">
        <v>0</v>
      </c>
      <c r="P61" s="188">
        <v>2</v>
      </c>
      <c r="Q61" s="188">
        <v>1</v>
      </c>
      <c r="R61" s="188">
        <v>2</v>
      </c>
      <c r="S61" s="188">
        <v>1</v>
      </c>
      <c r="T61" s="188">
        <v>0</v>
      </c>
      <c r="U61" s="188">
        <v>0</v>
      </c>
      <c r="V61" s="188">
        <v>0</v>
      </c>
      <c r="W61" s="189" t="s">
        <v>125</v>
      </c>
      <c r="X61" s="189" t="s">
        <v>125</v>
      </c>
      <c r="Y61" s="189" t="s">
        <v>125</v>
      </c>
      <c r="Z61" s="188">
        <v>1036</v>
      </c>
      <c r="AA61" s="188">
        <v>1036</v>
      </c>
      <c r="AB61" s="188">
        <v>0</v>
      </c>
      <c r="AC61" s="188">
        <v>240095</v>
      </c>
      <c r="AD61" s="188">
        <v>154</v>
      </c>
      <c r="AE61" s="190">
        <v>240249</v>
      </c>
      <c r="AY61" s="192"/>
      <c r="AZ61" s="192"/>
    </row>
    <row r="62" spans="1:52" s="191" customFormat="1" ht="15" customHeight="1">
      <c r="A62" s="187" t="s">
        <v>178</v>
      </c>
      <c r="B62" s="188">
        <v>7371</v>
      </c>
      <c r="C62" s="188">
        <v>74</v>
      </c>
      <c r="D62" s="188">
        <v>0</v>
      </c>
      <c r="E62" s="188">
        <v>43692</v>
      </c>
      <c r="F62" s="188">
        <v>795</v>
      </c>
      <c r="G62" s="188">
        <v>196</v>
      </c>
      <c r="H62" s="188">
        <v>51063</v>
      </c>
      <c r="I62" s="188">
        <v>869</v>
      </c>
      <c r="J62" s="188">
        <v>196</v>
      </c>
      <c r="K62" s="188">
        <v>20117</v>
      </c>
      <c r="L62" s="188">
        <v>97345</v>
      </c>
      <c r="M62" s="188">
        <v>117462</v>
      </c>
      <c r="N62" s="188">
        <v>169</v>
      </c>
      <c r="O62" s="188">
        <v>81</v>
      </c>
      <c r="P62" s="188">
        <v>2157</v>
      </c>
      <c r="Q62" s="188">
        <v>860</v>
      </c>
      <c r="R62" s="188">
        <v>2326</v>
      </c>
      <c r="S62" s="188">
        <v>941</v>
      </c>
      <c r="T62" s="188">
        <v>0</v>
      </c>
      <c r="U62" s="188">
        <v>239</v>
      </c>
      <c r="V62" s="188">
        <v>239</v>
      </c>
      <c r="W62" s="189" t="s">
        <v>125</v>
      </c>
      <c r="X62" s="189" t="s">
        <v>125</v>
      </c>
      <c r="Y62" s="189" t="s">
        <v>125</v>
      </c>
      <c r="Z62" s="188">
        <v>61077</v>
      </c>
      <c r="AA62" s="188">
        <v>61077</v>
      </c>
      <c r="AB62" s="188">
        <v>0</v>
      </c>
      <c r="AC62" s="188">
        <v>16272537</v>
      </c>
      <c r="AD62" s="188">
        <v>136597</v>
      </c>
      <c r="AE62" s="190">
        <v>16409134</v>
      </c>
      <c r="AY62" s="192"/>
      <c r="AZ62" s="192"/>
    </row>
    <row r="63" spans="1:52" s="191" customFormat="1" ht="15" customHeight="1">
      <c r="A63" s="187" t="s">
        <v>179</v>
      </c>
      <c r="B63" s="188">
        <v>273</v>
      </c>
      <c r="C63" s="188">
        <v>1</v>
      </c>
      <c r="D63" s="188">
        <v>0</v>
      </c>
      <c r="E63" s="188">
        <v>2739</v>
      </c>
      <c r="F63" s="188">
        <v>6</v>
      </c>
      <c r="G63" s="188">
        <v>2</v>
      </c>
      <c r="H63" s="188">
        <v>3012</v>
      </c>
      <c r="I63" s="188">
        <v>7</v>
      </c>
      <c r="J63" s="188">
        <v>2</v>
      </c>
      <c r="K63" s="188">
        <v>676</v>
      </c>
      <c r="L63" s="188">
        <v>4575</v>
      </c>
      <c r="M63" s="188">
        <v>5251</v>
      </c>
      <c r="N63" s="188">
        <v>5</v>
      </c>
      <c r="O63" s="188">
        <v>1</v>
      </c>
      <c r="P63" s="188">
        <v>8</v>
      </c>
      <c r="Q63" s="188">
        <v>7</v>
      </c>
      <c r="R63" s="188">
        <v>13</v>
      </c>
      <c r="S63" s="188">
        <v>8</v>
      </c>
      <c r="T63" s="188">
        <v>0</v>
      </c>
      <c r="U63" s="188">
        <v>4</v>
      </c>
      <c r="V63" s="188">
        <v>4</v>
      </c>
      <c r="W63" s="189" t="s">
        <v>125</v>
      </c>
      <c r="X63" s="189" t="s">
        <v>125</v>
      </c>
      <c r="Y63" s="189" t="s">
        <v>125</v>
      </c>
      <c r="Z63" s="188">
        <v>3171</v>
      </c>
      <c r="AA63" s="188">
        <v>3171</v>
      </c>
      <c r="AB63" s="188">
        <v>0</v>
      </c>
      <c r="AC63" s="188">
        <v>693686</v>
      </c>
      <c r="AD63" s="188">
        <v>989</v>
      </c>
      <c r="AE63" s="190">
        <v>694675</v>
      </c>
      <c r="AY63" s="192"/>
      <c r="AZ63" s="192"/>
    </row>
    <row r="64" spans="1:52" s="191" customFormat="1" ht="15" customHeight="1">
      <c r="A64" s="187" t="s">
        <v>180</v>
      </c>
      <c r="B64" s="188">
        <v>2838</v>
      </c>
      <c r="C64" s="188">
        <v>22</v>
      </c>
      <c r="D64" s="188">
        <v>0</v>
      </c>
      <c r="E64" s="188">
        <v>33271</v>
      </c>
      <c r="F64" s="188">
        <v>324</v>
      </c>
      <c r="G64" s="188">
        <v>213</v>
      </c>
      <c r="H64" s="188">
        <v>36109</v>
      </c>
      <c r="I64" s="188">
        <v>346</v>
      </c>
      <c r="J64" s="188">
        <v>213</v>
      </c>
      <c r="K64" s="188">
        <v>7283</v>
      </c>
      <c r="L64" s="188">
        <v>64576</v>
      </c>
      <c r="M64" s="188">
        <v>71859</v>
      </c>
      <c r="N64" s="188">
        <v>45</v>
      </c>
      <c r="O64" s="188">
        <v>30</v>
      </c>
      <c r="P64" s="188">
        <v>756</v>
      </c>
      <c r="Q64" s="188">
        <v>361</v>
      </c>
      <c r="R64" s="188">
        <v>801</v>
      </c>
      <c r="S64" s="188">
        <v>391</v>
      </c>
      <c r="T64" s="188">
        <v>0</v>
      </c>
      <c r="U64" s="188">
        <v>270</v>
      </c>
      <c r="V64" s="188">
        <v>270</v>
      </c>
      <c r="W64" s="189" t="s">
        <v>125</v>
      </c>
      <c r="X64" s="189" t="s">
        <v>125</v>
      </c>
      <c r="Y64" s="189" t="s">
        <v>125</v>
      </c>
      <c r="Z64" s="188">
        <v>42253</v>
      </c>
      <c r="AA64" s="188">
        <v>42253</v>
      </c>
      <c r="AB64" s="188">
        <v>0</v>
      </c>
      <c r="AC64" s="188">
        <v>9776870</v>
      </c>
      <c r="AD64" s="188">
        <v>122479</v>
      </c>
      <c r="AE64" s="190">
        <v>9899349</v>
      </c>
      <c r="AY64" s="192"/>
      <c r="AZ64" s="192"/>
    </row>
    <row r="65" spans="1:52" s="191" customFormat="1" ht="15" customHeight="1">
      <c r="A65" s="187" t="s">
        <v>181</v>
      </c>
      <c r="B65" s="188">
        <v>827</v>
      </c>
      <c r="C65" s="188">
        <v>39</v>
      </c>
      <c r="D65" s="188">
        <v>2</v>
      </c>
      <c r="E65" s="188">
        <v>9012</v>
      </c>
      <c r="F65" s="188">
        <v>141</v>
      </c>
      <c r="G65" s="188">
        <v>62</v>
      </c>
      <c r="H65" s="188">
        <v>9839</v>
      </c>
      <c r="I65" s="188">
        <v>180</v>
      </c>
      <c r="J65" s="188">
        <v>64</v>
      </c>
      <c r="K65" s="188">
        <v>2131</v>
      </c>
      <c r="L65" s="188">
        <v>16673</v>
      </c>
      <c r="M65" s="188">
        <v>18804</v>
      </c>
      <c r="N65" s="188">
        <v>104</v>
      </c>
      <c r="O65" s="188">
        <v>65</v>
      </c>
      <c r="P65" s="188">
        <v>363</v>
      </c>
      <c r="Q65" s="188">
        <v>203</v>
      </c>
      <c r="R65" s="188">
        <v>467</v>
      </c>
      <c r="S65" s="188">
        <v>268</v>
      </c>
      <c r="T65" s="188">
        <v>6</v>
      </c>
      <c r="U65" s="188">
        <v>88</v>
      </c>
      <c r="V65" s="188">
        <v>94</v>
      </c>
      <c r="W65" s="189" t="s">
        <v>125</v>
      </c>
      <c r="X65" s="189" t="s">
        <v>125</v>
      </c>
      <c r="Y65" s="189" t="s">
        <v>125</v>
      </c>
      <c r="Z65" s="188">
        <v>11719</v>
      </c>
      <c r="AA65" s="188">
        <v>11719</v>
      </c>
      <c r="AB65" s="188">
        <v>0</v>
      </c>
      <c r="AC65" s="188">
        <v>2586074</v>
      </c>
      <c r="AD65" s="188">
        <v>42863</v>
      </c>
      <c r="AE65" s="190">
        <v>2628937</v>
      </c>
      <c r="AY65" s="192"/>
      <c r="AZ65" s="192"/>
    </row>
    <row r="66" spans="1:52" s="191" customFormat="1" ht="15" customHeight="1" thickBot="1">
      <c r="A66" s="193" t="s">
        <v>182</v>
      </c>
      <c r="B66" s="194">
        <v>801</v>
      </c>
      <c r="C66" s="194">
        <v>6</v>
      </c>
      <c r="D66" s="194">
        <v>0</v>
      </c>
      <c r="E66" s="194">
        <v>5174</v>
      </c>
      <c r="F66" s="194">
        <v>24</v>
      </c>
      <c r="G66" s="194">
        <v>4</v>
      </c>
      <c r="H66" s="194">
        <v>5975</v>
      </c>
      <c r="I66" s="194">
        <v>30</v>
      </c>
      <c r="J66" s="194">
        <v>4</v>
      </c>
      <c r="K66" s="194">
        <v>2162</v>
      </c>
      <c r="L66" s="194">
        <v>10605</v>
      </c>
      <c r="M66" s="194">
        <v>12767</v>
      </c>
      <c r="N66" s="194">
        <v>16</v>
      </c>
      <c r="O66" s="194">
        <v>7</v>
      </c>
      <c r="P66" s="194">
        <v>73</v>
      </c>
      <c r="Q66" s="194">
        <v>35</v>
      </c>
      <c r="R66" s="194">
        <v>89</v>
      </c>
      <c r="S66" s="194">
        <v>42</v>
      </c>
      <c r="T66" s="194">
        <v>0</v>
      </c>
      <c r="U66" s="194">
        <v>4</v>
      </c>
      <c r="V66" s="194">
        <v>4</v>
      </c>
      <c r="W66" s="195" t="s">
        <v>125</v>
      </c>
      <c r="X66" s="195" t="s">
        <v>125</v>
      </c>
      <c r="Y66" s="195" t="s">
        <v>125</v>
      </c>
      <c r="Z66" s="194">
        <v>6388</v>
      </c>
      <c r="AA66" s="194">
        <v>6388</v>
      </c>
      <c r="AB66" s="194">
        <v>0</v>
      </c>
      <c r="AC66" s="194">
        <v>1741437</v>
      </c>
      <c r="AD66" s="194">
        <v>5516</v>
      </c>
      <c r="AE66" s="196">
        <v>1746953</v>
      </c>
      <c r="AG66" s="197" t="s">
        <v>63</v>
      </c>
      <c r="AY66" s="192"/>
      <c r="AZ66" s="192"/>
    </row>
    <row r="67" spans="1:52" s="191" customFormat="1" ht="15.75" customHeight="1" thickTop="1">
      <c r="A67" s="198" t="s">
        <v>183</v>
      </c>
      <c r="B67" s="199">
        <f>SUBTOTAL(109,Jan17Data[Cell 1])</f>
        <v>253084</v>
      </c>
      <c r="C67" s="199">
        <f>SUBTOTAL(109,Jan17Data[Cell 2])</f>
        <v>5010</v>
      </c>
      <c r="D67" s="199">
        <f>SUBTOTAL(109,Jan17Data[Cell 3])</f>
        <v>348</v>
      </c>
      <c r="E67" s="199">
        <f>SUBTOTAL(109,Jan17Data[Cell 4])</f>
        <v>1736514</v>
      </c>
      <c r="F67" s="199">
        <f>SUBTOTAL(109,Jan17Data[Cell 5])</f>
        <v>20956</v>
      </c>
      <c r="G67" s="199">
        <f>SUBTOTAL(109,Jan17Data[Cell 6])</f>
        <v>10621</v>
      </c>
      <c r="H67" s="199">
        <f>SUBTOTAL(109,Jan17Data[Cell 15])</f>
        <v>1989598</v>
      </c>
      <c r="I67" s="199">
        <f>SUBTOTAL(109,Jan17Data[Cell 16])</f>
        <v>25966</v>
      </c>
      <c r="J67" s="199">
        <f>SUBTOTAL(109,Jan17Data[Cell 17])</f>
        <v>10969</v>
      </c>
      <c r="K67" s="199">
        <f>SUBTOTAL(109,Jan17Data[Cell 7])</f>
        <v>647480</v>
      </c>
      <c r="L67" s="199">
        <f>SUBTOTAL(109,Jan17Data[Cell 8])</f>
        <v>3457348</v>
      </c>
      <c r="M67" s="199">
        <f>SUBTOTAL(109,Jan17Data[Cell 18])</f>
        <v>4104828</v>
      </c>
      <c r="N67" s="199">
        <f>SUBTOTAL(109,Jan17Data[Cell 9])</f>
        <v>11192</v>
      </c>
      <c r="O67" s="199">
        <f>SUBTOTAL(109,Jan17Data[Cell 10])</f>
        <v>6790</v>
      </c>
      <c r="P67" s="199">
        <f>SUBTOTAL(109,Jan17Data[Cell 11])</f>
        <v>49877</v>
      </c>
      <c r="Q67" s="199">
        <f>SUBTOTAL(109,Jan17Data[Cell 12])</f>
        <v>25545</v>
      </c>
      <c r="R67" s="199">
        <f>SUBTOTAL(109,Jan17Data[Cell 19])</f>
        <v>61069</v>
      </c>
      <c r="S67" s="199">
        <f>SUBTOTAL(109,Jan17Data[Cell 20])</f>
        <v>32335</v>
      </c>
      <c r="T67" s="199">
        <f>SUBTOTAL(109,Jan17Data[Cell 13])</f>
        <v>471</v>
      </c>
      <c r="U67" s="199">
        <f>SUBTOTAL(109,Jan17Data[Cell 14])</f>
        <v>13639</v>
      </c>
      <c r="V67" s="199">
        <f>SUBTOTAL(109,Jan17Data[Cell 21])</f>
        <v>14110</v>
      </c>
      <c r="W67" s="200"/>
      <c r="X67" s="200"/>
      <c r="Y67" s="200"/>
      <c r="Z67" s="199">
        <f>SUBTOTAL(109,Jan17Data[Cell 25])</f>
        <v>2182239</v>
      </c>
      <c r="AA67" s="199">
        <f>SUBTOTAL(109,Jan17Data[Cell 26])</f>
        <v>2182239</v>
      </c>
      <c r="AB67" s="199">
        <f>SUBTOTAL(109,Jan17Data[Cell 27])</f>
        <v>0</v>
      </c>
      <c r="AC67" s="199">
        <f>SUBTOTAL(109,Jan17Data[Cell 28])</f>
        <v>573423357</v>
      </c>
      <c r="AD67" s="199">
        <f>SUBTOTAL(109,Jan17Data[Cell 29])</f>
        <v>5431858</v>
      </c>
      <c r="AE67" s="199">
        <f>SUBTOTAL(109,Jan17Data[Cell 30])</f>
        <v>578855215</v>
      </c>
      <c r="AG67" s="201">
        <v>1174552658</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3"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197</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251560</v>
      </c>
      <c r="F12" s="54">
        <v>2</v>
      </c>
      <c r="G12" s="55">
        <v>4969</v>
      </c>
      <c r="H12" s="54">
        <v>3</v>
      </c>
      <c r="I12" s="55">
        <v>334</v>
      </c>
      <c r="J12" s="54">
        <v>4</v>
      </c>
      <c r="K12" s="55">
        <v>1714131</v>
      </c>
      <c r="L12" s="54">
        <v>5</v>
      </c>
      <c r="M12" s="55">
        <v>20848</v>
      </c>
      <c r="N12" s="54">
        <v>6</v>
      </c>
      <c r="O12" s="55">
        <v>10499</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642108</v>
      </c>
      <c r="F14" s="68"/>
      <c r="G14" s="69"/>
      <c r="H14" s="68"/>
      <c r="I14" s="69"/>
      <c r="J14" s="66"/>
      <c r="K14" s="67">
        <v>3423264</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11047</v>
      </c>
      <c r="F16" s="68"/>
      <c r="G16" s="69"/>
      <c r="H16" s="66"/>
      <c r="I16" s="67">
        <v>6741</v>
      </c>
      <c r="J16" s="66"/>
      <c r="K16" s="67">
        <v>49909</v>
      </c>
      <c r="L16" s="68"/>
      <c r="M16" s="69"/>
      <c r="N16" s="66"/>
      <c r="O16" s="67">
        <v>25572</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457</v>
      </c>
      <c r="J18" s="68"/>
      <c r="K18" s="69"/>
      <c r="L18" s="68"/>
      <c r="M18" s="69"/>
      <c r="N18" s="66"/>
      <c r="O18" s="67">
        <v>13519</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1965691</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25817</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10833</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4065372</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60956</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32313</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13976</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2159819</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2159819</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567620029</v>
      </c>
    </row>
    <row r="37" spans="1:26" ht="17.25" customHeight="1">
      <c r="A37" s="97" t="s">
        <v>59</v>
      </c>
      <c r="B37" s="98" t="s">
        <v>60</v>
      </c>
      <c r="C37" s="98"/>
      <c r="D37" s="99"/>
      <c r="E37" s="98"/>
      <c r="F37" s="98"/>
      <c r="G37" s="98"/>
      <c r="H37" s="98"/>
      <c r="I37" s="98"/>
      <c r="J37" s="103"/>
      <c r="K37" s="103"/>
      <c r="L37" s="103"/>
      <c r="M37" s="103"/>
      <c r="N37" s="124">
        <v>29</v>
      </c>
      <c r="O37" s="125">
        <v>5381873</v>
      </c>
    </row>
    <row r="38" spans="1:26" ht="17.25" customHeight="1">
      <c r="A38" s="97" t="s">
        <v>61</v>
      </c>
      <c r="B38" s="98" t="s">
        <v>62</v>
      </c>
      <c r="C38" s="98"/>
      <c r="D38" s="99"/>
      <c r="E38" s="98"/>
      <c r="F38" s="98"/>
      <c r="G38" s="98"/>
      <c r="H38" s="98"/>
      <c r="I38" s="98"/>
      <c r="J38" s="103"/>
      <c r="K38" s="103"/>
      <c r="L38" s="103"/>
      <c r="M38" s="103"/>
      <c r="N38" s="126">
        <v>30</v>
      </c>
      <c r="O38" s="127">
        <v>573001902</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211</v>
      </c>
      <c r="B41" s="221"/>
      <c r="C41" s="221"/>
      <c r="D41" s="221"/>
      <c r="E41" s="221"/>
      <c r="F41" s="221"/>
      <c r="G41" s="221"/>
      <c r="H41" s="221"/>
      <c r="I41" s="221"/>
      <c r="J41" s="221"/>
      <c r="K41" s="221"/>
      <c r="L41" s="221"/>
      <c r="M41" s="221"/>
      <c r="N41" s="221"/>
      <c r="O41" s="222"/>
      <c r="Q41" s="27"/>
    </row>
    <row r="42" spans="1:26">
      <c r="L42" s="133" t="s">
        <v>63</v>
      </c>
      <c r="M42" s="134"/>
      <c r="N42" s="135"/>
      <c r="O42" s="136">
        <v>1162673358</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198</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197</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5487</v>
      </c>
      <c r="C9" s="188">
        <v>224</v>
      </c>
      <c r="D9" s="188">
        <v>9</v>
      </c>
      <c r="E9" s="188">
        <v>49591</v>
      </c>
      <c r="F9" s="188">
        <v>1370</v>
      </c>
      <c r="G9" s="188">
        <v>672</v>
      </c>
      <c r="H9" s="188">
        <v>55078</v>
      </c>
      <c r="I9" s="188">
        <v>1594</v>
      </c>
      <c r="J9" s="188">
        <v>681</v>
      </c>
      <c r="K9" s="188">
        <v>12589</v>
      </c>
      <c r="L9" s="188">
        <v>90923</v>
      </c>
      <c r="M9" s="188">
        <v>103512</v>
      </c>
      <c r="N9" s="188">
        <v>515</v>
      </c>
      <c r="O9" s="188">
        <v>297</v>
      </c>
      <c r="P9" s="188">
        <v>3122</v>
      </c>
      <c r="Q9" s="188">
        <v>1805</v>
      </c>
      <c r="R9" s="188">
        <v>3637</v>
      </c>
      <c r="S9" s="188">
        <v>2102</v>
      </c>
      <c r="T9" s="188">
        <v>17</v>
      </c>
      <c r="U9" s="188">
        <v>908</v>
      </c>
      <c r="V9" s="188">
        <v>925</v>
      </c>
      <c r="W9" s="189" t="s">
        <v>125</v>
      </c>
      <c r="X9" s="189" t="s">
        <v>125</v>
      </c>
      <c r="Y9" s="189" t="s">
        <v>125</v>
      </c>
      <c r="Z9" s="188">
        <v>57353</v>
      </c>
      <c r="AA9" s="188">
        <v>57353</v>
      </c>
      <c r="AB9" s="188">
        <v>0</v>
      </c>
      <c r="AC9" s="188">
        <v>15004663</v>
      </c>
      <c r="AD9" s="188">
        <v>338366</v>
      </c>
      <c r="AE9" s="190">
        <v>15343029</v>
      </c>
    </row>
    <row r="10" spans="1:52" ht="15" customHeight="1">
      <c r="A10" s="187" t="s">
        <v>126</v>
      </c>
      <c r="B10" s="188">
        <v>0</v>
      </c>
      <c r="C10" s="188">
        <v>0</v>
      </c>
      <c r="D10" s="188">
        <v>0</v>
      </c>
      <c r="E10" s="188">
        <v>85</v>
      </c>
      <c r="F10" s="188">
        <v>0</v>
      </c>
      <c r="G10" s="188">
        <v>0</v>
      </c>
      <c r="H10" s="188">
        <v>85</v>
      </c>
      <c r="I10" s="188">
        <v>0</v>
      </c>
      <c r="J10" s="188">
        <v>0</v>
      </c>
      <c r="K10" s="188">
        <v>0</v>
      </c>
      <c r="L10" s="188">
        <v>143</v>
      </c>
      <c r="M10" s="188">
        <v>143</v>
      </c>
      <c r="N10" s="188">
        <v>0</v>
      </c>
      <c r="O10" s="188">
        <v>0</v>
      </c>
      <c r="P10" s="188">
        <v>0</v>
      </c>
      <c r="Q10" s="188">
        <v>0</v>
      </c>
      <c r="R10" s="188">
        <v>0</v>
      </c>
      <c r="S10" s="188">
        <v>0</v>
      </c>
      <c r="T10" s="188">
        <v>0</v>
      </c>
      <c r="U10" s="188">
        <v>0</v>
      </c>
      <c r="V10" s="188">
        <v>0</v>
      </c>
      <c r="W10" s="189" t="s">
        <v>125</v>
      </c>
      <c r="X10" s="189" t="s">
        <v>125</v>
      </c>
      <c r="Y10" s="189" t="s">
        <v>125</v>
      </c>
      <c r="Z10" s="188">
        <v>85</v>
      </c>
      <c r="AA10" s="188">
        <v>85</v>
      </c>
      <c r="AB10" s="188">
        <v>0</v>
      </c>
      <c r="AC10" s="188">
        <v>17720</v>
      </c>
      <c r="AD10" s="188">
        <v>0</v>
      </c>
      <c r="AE10" s="190">
        <v>17720</v>
      </c>
    </row>
    <row r="11" spans="1:52" ht="15" customHeight="1">
      <c r="A11" s="187" t="s">
        <v>127</v>
      </c>
      <c r="B11" s="188">
        <v>132</v>
      </c>
      <c r="C11" s="188">
        <v>0</v>
      </c>
      <c r="D11" s="188">
        <v>0</v>
      </c>
      <c r="E11" s="188">
        <v>1561</v>
      </c>
      <c r="F11" s="188">
        <v>4</v>
      </c>
      <c r="G11" s="188">
        <v>1</v>
      </c>
      <c r="H11" s="188">
        <v>1693</v>
      </c>
      <c r="I11" s="188">
        <v>4</v>
      </c>
      <c r="J11" s="188">
        <v>1</v>
      </c>
      <c r="K11" s="188">
        <v>335</v>
      </c>
      <c r="L11" s="188">
        <v>2802</v>
      </c>
      <c r="M11" s="188">
        <v>3137</v>
      </c>
      <c r="N11" s="188">
        <v>0</v>
      </c>
      <c r="O11" s="188">
        <v>0</v>
      </c>
      <c r="P11" s="188">
        <v>11</v>
      </c>
      <c r="Q11" s="188">
        <v>4</v>
      </c>
      <c r="R11" s="188">
        <v>11</v>
      </c>
      <c r="S11" s="188">
        <v>4</v>
      </c>
      <c r="T11" s="188">
        <v>0</v>
      </c>
      <c r="U11" s="188">
        <v>1</v>
      </c>
      <c r="V11" s="188">
        <v>1</v>
      </c>
      <c r="W11" s="189" t="s">
        <v>125</v>
      </c>
      <c r="X11" s="189" t="s">
        <v>125</v>
      </c>
      <c r="Y11" s="189" t="s">
        <v>125</v>
      </c>
      <c r="Z11" s="188">
        <v>1801</v>
      </c>
      <c r="AA11" s="188">
        <v>1801</v>
      </c>
      <c r="AB11" s="188">
        <v>0</v>
      </c>
      <c r="AC11" s="188">
        <v>412891</v>
      </c>
      <c r="AD11" s="188">
        <v>474</v>
      </c>
      <c r="AE11" s="190">
        <v>413365</v>
      </c>
    </row>
    <row r="12" spans="1:52" ht="15" customHeight="1">
      <c r="A12" s="187" t="s">
        <v>128</v>
      </c>
      <c r="B12" s="188">
        <v>1650</v>
      </c>
      <c r="C12" s="188">
        <v>7</v>
      </c>
      <c r="D12" s="188">
        <v>0</v>
      </c>
      <c r="E12" s="188">
        <v>14706</v>
      </c>
      <c r="F12" s="188">
        <v>38</v>
      </c>
      <c r="G12" s="188">
        <v>25</v>
      </c>
      <c r="H12" s="188">
        <v>16356</v>
      </c>
      <c r="I12" s="188">
        <v>45</v>
      </c>
      <c r="J12" s="188">
        <v>25</v>
      </c>
      <c r="K12" s="188">
        <v>4102</v>
      </c>
      <c r="L12" s="188">
        <v>26525</v>
      </c>
      <c r="M12" s="188">
        <v>30627</v>
      </c>
      <c r="N12" s="188">
        <v>11</v>
      </c>
      <c r="O12" s="188">
        <v>7</v>
      </c>
      <c r="P12" s="188">
        <v>110</v>
      </c>
      <c r="Q12" s="188">
        <v>41</v>
      </c>
      <c r="R12" s="188">
        <v>121</v>
      </c>
      <c r="S12" s="188">
        <v>48</v>
      </c>
      <c r="T12" s="188">
        <v>0</v>
      </c>
      <c r="U12" s="188">
        <v>29</v>
      </c>
      <c r="V12" s="188">
        <v>29</v>
      </c>
      <c r="W12" s="189" t="s">
        <v>125</v>
      </c>
      <c r="X12" s="189" t="s">
        <v>125</v>
      </c>
      <c r="Y12" s="189" t="s">
        <v>125</v>
      </c>
      <c r="Z12" s="188">
        <v>17432</v>
      </c>
      <c r="AA12" s="188">
        <v>17432</v>
      </c>
      <c r="AB12" s="188">
        <v>0</v>
      </c>
      <c r="AC12" s="188">
        <v>4190949</v>
      </c>
      <c r="AD12" s="188">
        <v>10625</v>
      </c>
      <c r="AE12" s="190">
        <v>4201574</v>
      </c>
    </row>
    <row r="13" spans="1:52" ht="15" customHeight="1">
      <c r="A13" s="187" t="s">
        <v>129</v>
      </c>
      <c r="B13" s="188">
        <v>192</v>
      </c>
      <c r="C13" s="188">
        <v>0</v>
      </c>
      <c r="D13" s="188">
        <v>0</v>
      </c>
      <c r="E13" s="188">
        <v>2625</v>
      </c>
      <c r="F13" s="188">
        <v>7</v>
      </c>
      <c r="G13" s="188">
        <v>4</v>
      </c>
      <c r="H13" s="188">
        <v>2817</v>
      </c>
      <c r="I13" s="188">
        <v>7</v>
      </c>
      <c r="J13" s="188">
        <v>4</v>
      </c>
      <c r="K13" s="188">
        <v>515</v>
      </c>
      <c r="L13" s="188">
        <v>4563</v>
      </c>
      <c r="M13" s="188">
        <v>5078</v>
      </c>
      <c r="N13" s="188">
        <v>0</v>
      </c>
      <c r="O13" s="188">
        <v>0</v>
      </c>
      <c r="P13" s="188">
        <v>12</v>
      </c>
      <c r="Q13" s="188">
        <v>8</v>
      </c>
      <c r="R13" s="188">
        <v>12</v>
      </c>
      <c r="S13" s="188">
        <v>8</v>
      </c>
      <c r="T13" s="188">
        <v>0</v>
      </c>
      <c r="U13" s="188">
        <v>5</v>
      </c>
      <c r="V13" s="188">
        <v>5</v>
      </c>
      <c r="W13" s="189" t="s">
        <v>125</v>
      </c>
      <c r="X13" s="189" t="s">
        <v>125</v>
      </c>
      <c r="Y13" s="189" t="s">
        <v>125</v>
      </c>
      <c r="Z13" s="188">
        <v>2995</v>
      </c>
      <c r="AA13" s="188">
        <v>2995</v>
      </c>
      <c r="AB13" s="188">
        <v>0</v>
      </c>
      <c r="AC13" s="188">
        <v>672046</v>
      </c>
      <c r="AD13" s="188">
        <v>1512</v>
      </c>
      <c r="AE13" s="190">
        <v>673558</v>
      </c>
    </row>
    <row r="14" spans="1:52" ht="15" customHeight="1">
      <c r="A14" s="187" t="s">
        <v>218</v>
      </c>
      <c r="B14" s="188">
        <v>81</v>
      </c>
      <c r="C14" s="188">
        <v>1</v>
      </c>
      <c r="D14" s="188">
        <v>0</v>
      </c>
      <c r="E14" s="188">
        <v>595</v>
      </c>
      <c r="F14" s="188">
        <v>2</v>
      </c>
      <c r="G14" s="188">
        <v>1</v>
      </c>
      <c r="H14" s="188">
        <v>676</v>
      </c>
      <c r="I14" s="188">
        <v>3</v>
      </c>
      <c r="J14" s="188">
        <v>1</v>
      </c>
      <c r="K14" s="188">
        <v>211</v>
      </c>
      <c r="L14" s="188">
        <v>1388</v>
      </c>
      <c r="M14" s="188">
        <v>1599</v>
      </c>
      <c r="N14" s="188">
        <v>2</v>
      </c>
      <c r="O14" s="188">
        <v>1</v>
      </c>
      <c r="P14" s="188">
        <v>4</v>
      </c>
      <c r="Q14" s="188">
        <v>2</v>
      </c>
      <c r="R14" s="188">
        <v>6</v>
      </c>
      <c r="S14" s="188">
        <v>3</v>
      </c>
      <c r="T14" s="188">
        <v>0</v>
      </c>
      <c r="U14" s="188">
        <v>1</v>
      </c>
      <c r="V14" s="188">
        <v>1</v>
      </c>
      <c r="W14" s="189" t="s">
        <v>125</v>
      </c>
      <c r="X14" s="189" t="s">
        <v>125</v>
      </c>
      <c r="Y14" s="189" t="s">
        <v>125</v>
      </c>
      <c r="Z14" s="188">
        <v>746</v>
      </c>
      <c r="AA14" s="188">
        <v>746</v>
      </c>
      <c r="AB14" s="188">
        <v>0</v>
      </c>
      <c r="AC14" s="188">
        <v>200770</v>
      </c>
      <c r="AD14" s="188">
        <v>340</v>
      </c>
      <c r="AE14" s="190">
        <v>201110</v>
      </c>
    </row>
    <row r="15" spans="1:52" ht="15" customHeight="1">
      <c r="A15" s="187" t="s">
        <v>131</v>
      </c>
      <c r="B15" s="188">
        <v>3870</v>
      </c>
      <c r="C15" s="188">
        <v>105</v>
      </c>
      <c r="D15" s="188">
        <v>0</v>
      </c>
      <c r="E15" s="188">
        <v>26967</v>
      </c>
      <c r="F15" s="188">
        <v>382</v>
      </c>
      <c r="G15" s="188">
        <v>131</v>
      </c>
      <c r="H15" s="188">
        <v>30837</v>
      </c>
      <c r="I15" s="188">
        <v>487</v>
      </c>
      <c r="J15" s="188">
        <v>131</v>
      </c>
      <c r="K15" s="188">
        <v>8979</v>
      </c>
      <c r="L15" s="188">
        <v>52414</v>
      </c>
      <c r="M15" s="188">
        <v>61393</v>
      </c>
      <c r="N15" s="188">
        <v>244</v>
      </c>
      <c r="O15" s="188">
        <v>162</v>
      </c>
      <c r="P15" s="188">
        <v>918</v>
      </c>
      <c r="Q15" s="188">
        <v>502</v>
      </c>
      <c r="R15" s="188">
        <v>1162</v>
      </c>
      <c r="S15" s="188">
        <v>664</v>
      </c>
      <c r="T15" s="188">
        <v>0</v>
      </c>
      <c r="U15" s="188">
        <v>166</v>
      </c>
      <c r="V15" s="188">
        <v>166</v>
      </c>
      <c r="W15" s="189" t="s">
        <v>125</v>
      </c>
      <c r="X15" s="189" t="s">
        <v>125</v>
      </c>
      <c r="Y15" s="189" t="s">
        <v>125</v>
      </c>
      <c r="Z15" s="188">
        <v>36968</v>
      </c>
      <c r="AA15" s="188">
        <v>36968</v>
      </c>
      <c r="AB15" s="188">
        <v>0</v>
      </c>
      <c r="AC15" s="188">
        <v>8875815</v>
      </c>
      <c r="AD15" s="188">
        <v>84447</v>
      </c>
      <c r="AE15" s="190">
        <v>8960262</v>
      </c>
    </row>
    <row r="16" spans="1:52" s="191" customFormat="1" ht="15" customHeight="1">
      <c r="A16" s="187" t="s">
        <v>132</v>
      </c>
      <c r="B16" s="188">
        <v>373</v>
      </c>
      <c r="C16" s="188">
        <v>1</v>
      </c>
      <c r="D16" s="188">
        <v>0</v>
      </c>
      <c r="E16" s="188">
        <v>2173</v>
      </c>
      <c r="F16" s="188">
        <v>1</v>
      </c>
      <c r="G16" s="188">
        <v>0</v>
      </c>
      <c r="H16" s="188">
        <v>2546</v>
      </c>
      <c r="I16" s="188">
        <v>2</v>
      </c>
      <c r="J16" s="188">
        <v>0</v>
      </c>
      <c r="K16" s="188">
        <v>1094</v>
      </c>
      <c r="L16" s="188">
        <v>4130</v>
      </c>
      <c r="M16" s="188">
        <v>5224</v>
      </c>
      <c r="N16" s="188">
        <v>4</v>
      </c>
      <c r="O16" s="188">
        <v>1</v>
      </c>
      <c r="P16" s="188">
        <v>1</v>
      </c>
      <c r="Q16" s="188">
        <v>1</v>
      </c>
      <c r="R16" s="188">
        <v>5</v>
      </c>
      <c r="S16" s="188">
        <v>2</v>
      </c>
      <c r="T16" s="188">
        <v>0</v>
      </c>
      <c r="U16" s="188">
        <v>0</v>
      </c>
      <c r="V16" s="188">
        <v>0</v>
      </c>
      <c r="W16" s="189" t="s">
        <v>125</v>
      </c>
      <c r="X16" s="189" t="s">
        <v>125</v>
      </c>
      <c r="Y16" s="189" t="s">
        <v>125</v>
      </c>
      <c r="Z16" s="188">
        <v>2665</v>
      </c>
      <c r="AA16" s="188">
        <v>2665</v>
      </c>
      <c r="AB16" s="188">
        <v>0</v>
      </c>
      <c r="AC16" s="188">
        <v>687616</v>
      </c>
      <c r="AD16" s="188">
        <v>284</v>
      </c>
      <c r="AE16" s="190">
        <v>687900</v>
      </c>
      <c r="AY16" s="192"/>
      <c r="AZ16" s="192"/>
    </row>
    <row r="17" spans="1:52" s="191" customFormat="1" ht="15" customHeight="1">
      <c r="A17" s="187" t="s">
        <v>133</v>
      </c>
      <c r="B17" s="188">
        <v>525</v>
      </c>
      <c r="C17" s="188">
        <v>1</v>
      </c>
      <c r="D17" s="188">
        <v>0</v>
      </c>
      <c r="E17" s="188">
        <v>6332</v>
      </c>
      <c r="F17" s="188">
        <v>30</v>
      </c>
      <c r="G17" s="188">
        <v>10</v>
      </c>
      <c r="H17" s="188">
        <v>6857</v>
      </c>
      <c r="I17" s="188">
        <v>31</v>
      </c>
      <c r="J17" s="188">
        <v>10</v>
      </c>
      <c r="K17" s="188">
        <v>1283</v>
      </c>
      <c r="L17" s="188">
        <v>10906</v>
      </c>
      <c r="M17" s="188">
        <v>12189</v>
      </c>
      <c r="N17" s="188">
        <v>1</v>
      </c>
      <c r="O17" s="188">
        <v>1</v>
      </c>
      <c r="P17" s="188">
        <v>83</v>
      </c>
      <c r="Q17" s="188">
        <v>37</v>
      </c>
      <c r="R17" s="188">
        <v>84</v>
      </c>
      <c r="S17" s="188">
        <v>38</v>
      </c>
      <c r="T17" s="188">
        <v>0</v>
      </c>
      <c r="U17" s="188">
        <v>13</v>
      </c>
      <c r="V17" s="188">
        <v>13</v>
      </c>
      <c r="W17" s="189" t="s">
        <v>125</v>
      </c>
      <c r="X17" s="189" t="s">
        <v>125</v>
      </c>
      <c r="Y17" s="189" t="s">
        <v>125</v>
      </c>
      <c r="Z17" s="188">
        <v>7221</v>
      </c>
      <c r="AA17" s="188">
        <v>7221</v>
      </c>
      <c r="AB17" s="188">
        <v>0</v>
      </c>
      <c r="AC17" s="188">
        <v>1634090</v>
      </c>
      <c r="AD17" s="188">
        <v>4379</v>
      </c>
      <c r="AE17" s="190">
        <v>1638469</v>
      </c>
      <c r="AY17" s="192"/>
      <c r="AZ17" s="192"/>
    </row>
    <row r="18" spans="1:52" s="191" customFormat="1" ht="15" customHeight="1">
      <c r="A18" s="187" t="s">
        <v>134</v>
      </c>
      <c r="B18" s="188">
        <v>12202</v>
      </c>
      <c r="C18" s="188">
        <v>202</v>
      </c>
      <c r="D18" s="188">
        <v>19</v>
      </c>
      <c r="E18" s="188">
        <v>77439</v>
      </c>
      <c r="F18" s="188">
        <v>673</v>
      </c>
      <c r="G18" s="188">
        <v>214</v>
      </c>
      <c r="H18" s="188">
        <v>89641</v>
      </c>
      <c r="I18" s="188">
        <v>875</v>
      </c>
      <c r="J18" s="188">
        <v>233</v>
      </c>
      <c r="K18" s="188">
        <v>33175</v>
      </c>
      <c r="L18" s="188">
        <v>174209</v>
      </c>
      <c r="M18" s="188">
        <v>207384</v>
      </c>
      <c r="N18" s="188">
        <v>519</v>
      </c>
      <c r="O18" s="188">
        <v>243</v>
      </c>
      <c r="P18" s="188">
        <v>1828</v>
      </c>
      <c r="Q18" s="188">
        <v>774</v>
      </c>
      <c r="R18" s="188">
        <v>2347</v>
      </c>
      <c r="S18" s="188">
        <v>1017</v>
      </c>
      <c r="T18" s="188">
        <v>32</v>
      </c>
      <c r="U18" s="188">
        <v>262</v>
      </c>
      <c r="V18" s="188">
        <v>294</v>
      </c>
      <c r="W18" s="189" t="s">
        <v>125</v>
      </c>
      <c r="X18" s="189" t="s">
        <v>125</v>
      </c>
      <c r="Y18" s="189" t="s">
        <v>125</v>
      </c>
      <c r="Z18" s="188">
        <v>103728</v>
      </c>
      <c r="AA18" s="188">
        <v>103728</v>
      </c>
      <c r="AB18" s="188">
        <v>0</v>
      </c>
      <c r="AC18" s="188">
        <v>30565821</v>
      </c>
      <c r="AD18" s="188">
        <v>163743</v>
      </c>
      <c r="AE18" s="190">
        <v>30729564</v>
      </c>
      <c r="AY18" s="192"/>
      <c r="AZ18" s="192"/>
    </row>
    <row r="19" spans="1:52" s="191" customFormat="1" ht="15" customHeight="1">
      <c r="A19" s="187" t="s">
        <v>135</v>
      </c>
      <c r="B19" s="188">
        <v>215</v>
      </c>
      <c r="C19" s="188">
        <v>1</v>
      </c>
      <c r="D19" s="188">
        <v>0</v>
      </c>
      <c r="E19" s="188">
        <v>1310</v>
      </c>
      <c r="F19" s="188">
        <v>7</v>
      </c>
      <c r="G19" s="188">
        <v>0</v>
      </c>
      <c r="H19" s="188">
        <v>1525</v>
      </c>
      <c r="I19" s="188">
        <v>8</v>
      </c>
      <c r="J19" s="188">
        <v>0</v>
      </c>
      <c r="K19" s="188">
        <v>578</v>
      </c>
      <c r="L19" s="188">
        <v>2949</v>
      </c>
      <c r="M19" s="188">
        <v>3527</v>
      </c>
      <c r="N19" s="188">
        <v>2</v>
      </c>
      <c r="O19" s="188">
        <v>1</v>
      </c>
      <c r="P19" s="188">
        <v>21</v>
      </c>
      <c r="Q19" s="188">
        <v>8</v>
      </c>
      <c r="R19" s="188">
        <v>23</v>
      </c>
      <c r="S19" s="188">
        <v>9</v>
      </c>
      <c r="T19" s="188">
        <v>0</v>
      </c>
      <c r="U19" s="188">
        <v>0</v>
      </c>
      <c r="V19" s="188">
        <v>0</v>
      </c>
      <c r="W19" s="189" t="s">
        <v>125</v>
      </c>
      <c r="X19" s="189" t="s">
        <v>125</v>
      </c>
      <c r="Y19" s="189" t="s">
        <v>125</v>
      </c>
      <c r="Z19" s="188">
        <v>1672</v>
      </c>
      <c r="AA19" s="188">
        <v>1672</v>
      </c>
      <c r="AB19" s="188">
        <v>0</v>
      </c>
      <c r="AC19" s="188">
        <v>438741</v>
      </c>
      <c r="AD19" s="188">
        <v>772</v>
      </c>
      <c r="AE19" s="190">
        <v>439513</v>
      </c>
      <c r="AY19" s="192"/>
      <c r="AZ19" s="192"/>
    </row>
    <row r="20" spans="1:52" s="191" customFormat="1" ht="15" customHeight="1">
      <c r="A20" s="187" t="s">
        <v>136</v>
      </c>
      <c r="B20" s="188">
        <v>857</v>
      </c>
      <c r="C20" s="188">
        <v>2</v>
      </c>
      <c r="D20" s="188">
        <v>0</v>
      </c>
      <c r="E20" s="188">
        <v>11361</v>
      </c>
      <c r="F20" s="188">
        <v>27</v>
      </c>
      <c r="G20" s="188">
        <v>4</v>
      </c>
      <c r="H20" s="188">
        <v>12218</v>
      </c>
      <c r="I20" s="188">
        <v>29</v>
      </c>
      <c r="J20" s="188">
        <v>4</v>
      </c>
      <c r="K20" s="188">
        <v>2149</v>
      </c>
      <c r="L20" s="188">
        <v>18425</v>
      </c>
      <c r="M20" s="188">
        <v>20574</v>
      </c>
      <c r="N20" s="188">
        <v>2</v>
      </c>
      <c r="O20" s="188">
        <v>3</v>
      </c>
      <c r="P20" s="188">
        <v>60</v>
      </c>
      <c r="Q20" s="188">
        <v>32</v>
      </c>
      <c r="R20" s="188">
        <v>62</v>
      </c>
      <c r="S20" s="188">
        <v>35</v>
      </c>
      <c r="T20" s="188">
        <v>0</v>
      </c>
      <c r="U20" s="188">
        <v>5</v>
      </c>
      <c r="V20" s="188">
        <v>5</v>
      </c>
      <c r="W20" s="189" t="s">
        <v>125</v>
      </c>
      <c r="X20" s="189" t="s">
        <v>125</v>
      </c>
      <c r="Y20" s="189" t="s">
        <v>125</v>
      </c>
      <c r="Z20" s="188">
        <v>12980</v>
      </c>
      <c r="AA20" s="188">
        <v>12980</v>
      </c>
      <c r="AB20" s="188">
        <v>0</v>
      </c>
      <c r="AC20" s="188">
        <v>2886755</v>
      </c>
      <c r="AD20" s="188">
        <v>5094</v>
      </c>
      <c r="AE20" s="190">
        <v>2891849</v>
      </c>
      <c r="AY20" s="192"/>
      <c r="AZ20" s="192"/>
    </row>
    <row r="21" spans="1:52" s="191" customFormat="1" ht="15" customHeight="1">
      <c r="A21" s="187" t="s">
        <v>137</v>
      </c>
      <c r="B21" s="188">
        <v>2254</v>
      </c>
      <c r="C21" s="188">
        <v>31</v>
      </c>
      <c r="D21" s="188">
        <v>4</v>
      </c>
      <c r="E21" s="188">
        <v>14589</v>
      </c>
      <c r="F21" s="188">
        <v>330</v>
      </c>
      <c r="G21" s="188">
        <v>48</v>
      </c>
      <c r="H21" s="188">
        <v>16843</v>
      </c>
      <c r="I21" s="188">
        <v>361</v>
      </c>
      <c r="J21" s="188">
        <v>52</v>
      </c>
      <c r="K21" s="188">
        <v>6356</v>
      </c>
      <c r="L21" s="188">
        <v>34144</v>
      </c>
      <c r="M21" s="188">
        <v>40500</v>
      </c>
      <c r="N21" s="188">
        <v>82</v>
      </c>
      <c r="O21" s="188">
        <v>31</v>
      </c>
      <c r="P21" s="188">
        <v>910</v>
      </c>
      <c r="Q21" s="188">
        <v>352</v>
      </c>
      <c r="R21" s="188">
        <v>992</v>
      </c>
      <c r="S21" s="188">
        <v>383</v>
      </c>
      <c r="T21" s="188">
        <v>5</v>
      </c>
      <c r="U21" s="188">
        <v>52</v>
      </c>
      <c r="V21" s="188">
        <v>57</v>
      </c>
      <c r="W21" s="189" t="s">
        <v>125</v>
      </c>
      <c r="X21" s="189" t="s">
        <v>125</v>
      </c>
      <c r="Y21" s="189" t="s">
        <v>125</v>
      </c>
      <c r="Z21" s="188">
        <v>18094</v>
      </c>
      <c r="AA21" s="188">
        <v>18094</v>
      </c>
      <c r="AB21" s="188">
        <v>0</v>
      </c>
      <c r="AC21" s="188">
        <v>5206365</v>
      </c>
      <c r="AD21" s="188">
        <v>43148</v>
      </c>
      <c r="AE21" s="190">
        <v>5249513</v>
      </c>
      <c r="AY21" s="192"/>
      <c r="AZ21" s="192"/>
    </row>
    <row r="22" spans="1:52" s="191" customFormat="1" ht="15" customHeight="1">
      <c r="A22" s="187" t="s">
        <v>138</v>
      </c>
      <c r="B22" s="188">
        <v>92</v>
      </c>
      <c r="C22" s="188">
        <v>0</v>
      </c>
      <c r="D22" s="188">
        <v>0</v>
      </c>
      <c r="E22" s="188">
        <v>917</v>
      </c>
      <c r="F22" s="188">
        <v>4</v>
      </c>
      <c r="G22" s="188">
        <v>2</v>
      </c>
      <c r="H22" s="188">
        <v>1009</v>
      </c>
      <c r="I22" s="188">
        <v>4</v>
      </c>
      <c r="J22" s="188">
        <v>2</v>
      </c>
      <c r="K22" s="188">
        <v>244</v>
      </c>
      <c r="L22" s="188">
        <v>1655</v>
      </c>
      <c r="M22" s="188">
        <v>1899</v>
      </c>
      <c r="N22" s="188">
        <v>0</v>
      </c>
      <c r="O22" s="188">
        <v>0</v>
      </c>
      <c r="P22" s="188">
        <v>5</v>
      </c>
      <c r="Q22" s="188">
        <v>5</v>
      </c>
      <c r="R22" s="188">
        <v>5</v>
      </c>
      <c r="S22" s="188">
        <v>5</v>
      </c>
      <c r="T22" s="188">
        <v>0</v>
      </c>
      <c r="U22" s="188">
        <v>2</v>
      </c>
      <c r="V22" s="188">
        <v>2</v>
      </c>
      <c r="W22" s="189" t="s">
        <v>125</v>
      </c>
      <c r="X22" s="189" t="s">
        <v>125</v>
      </c>
      <c r="Y22" s="189" t="s">
        <v>125</v>
      </c>
      <c r="Z22" s="188">
        <v>1071</v>
      </c>
      <c r="AA22" s="188">
        <v>1071</v>
      </c>
      <c r="AB22" s="188">
        <v>0</v>
      </c>
      <c r="AC22" s="188">
        <v>247403</v>
      </c>
      <c r="AD22" s="188">
        <v>518</v>
      </c>
      <c r="AE22" s="190">
        <v>247921</v>
      </c>
      <c r="AY22" s="192"/>
      <c r="AZ22" s="192"/>
    </row>
    <row r="23" spans="1:52" s="191" customFormat="1" ht="15" customHeight="1">
      <c r="A23" s="187" t="s">
        <v>139</v>
      </c>
      <c r="B23" s="188">
        <v>9990</v>
      </c>
      <c r="C23" s="188">
        <v>51</v>
      </c>
      <c r="D23" s="188">
        <v>0</v>
      </c>
      <c r="E23" s="188">
        <v>58707</v>
      </c>
      <c r="F23" s="188">
        <v>489</v>
      </c>
      <c r="G23" s="188">
        <v>262</v>
      </c>
      <c r="H23" s="188">
        <v>68697</v>
      </c>
      <c r="I23" s="188">
        <v>540</v>
      </c>
      <c r="J23" s="188">
        <v>262</v>
      </c>
      <c r="K23" s="188">
        <v>26725</v>
      </c>
      <c r="L23" s="188">
        <v>133006</v>
      </c>
      <c r="M23" s="188">
        <v>159731</v>
      </c>
      <c r="N23" s="188">
        <v>137</v>
      </c>
      <c r="O23" s="188">
        <v>59</v>
      </c>
      <c r="P23" s="188">
        <v>1345</v>
      </c>
      <c r="Q23" s="188">
        <v>536</v>
      </c>
      <c r="R23" s="188">
        <v>1482</v>
      </c>
      <c r="S23" s="188">
        <v>595</v>
      </c>
      <c r="T23" s="188">
        <v>0</v>
      </c>
      <c r="U23" s="188">
        <v>406</v>
      </c>
      <c r="V23" s="188">
        <v>406</v>
      </c>
      <c r="W23" s="189" t="s">
        <v>125</v>
      </c>
      <c r="X23" s="189" t="s">
        <v>125</v>
      </c>
      <c r="Y23" s="189" t="s">
        <v>125</v>
      </c>
      <c r="Z23" s="188">
        <v>73835</v>
      </c>
      <c r="AA23" s="188">
        <v>73835</v>
      </c>
      <c r="AB23" s="188">
        <v>0</v>
      </c>
      <c r="AC23" s="188">
        <v>21461304</v>
      </c>
      <c r="AD23" s="188">
        <v>132624</v>
      </c>
      <c r="AE23" s="190">
        <v>21593928</v>
      </c>
      <c r="AY23" s="192"/>
      <c r="AZ23" s="192"/>
    </row>
    <row r="24" spans="1:52" s="191" customFormat="1" ht="15" customHeight="1">
      <c r="A24" s="187" t="s">
        <v>140</v>
      </c>
      <c r="B24" s="188">
        <v>1523</v>
      </c>
      <c r="C24" s="188">
        <v>21</v>
      </c>
      <c r="D24" s="188">
        <v>0</v>
      </c>
      <c r="E24" s="188">
        <v>9058</v>
      </c>
      <c r="F24" s="188">
        <v>126</v>
      </c>
      <c r="G24" s="188">
        <v>27</v>
      </c>
      <c r="H24" s="188">
        <v>10581</v>
      </c>
      <c r="I24" s="188">
        <v>147</v>
      </c>
      <c r="J24" s="188">
        <v>27</v>
      </c>
      <c r="K24" s="188">
        <v>4181</v>
      </c>
      <c r="L24" s="188">
        <v>19813</v>
      </c>
      <c r="M24" s="188">
        <v>23994</v>
      </c>
      <c r="N24" s="188">
        <v>56</v>
      </c>
      <c r="O24" s="188">
        <v>21</v>
      </c>
      <c r="P24" s="188">
        <v>369</v>
      </c>
      <c r="Q24" s="188">
        <v>133</v>
      </c>
      <c r="R24" s="188">
        <v>425</v>
      </c>
      <c r="S24" s="188">
        <v>154</v>
      </c>
      <c r="T24" s="188">
        <v>0</v>
      </c>
      <c r="U24" s="188">
        <v>37</v>
      </c>
      <c r="V24" s="188">
        <v>37</v>
      </c>
      <c r="W24" s="189" t="s">
        <v>125</v>
      </c>
      <c r="X24" s="189" t="s">
        <v>125</v>
      </c>
      <c r="Y24" s="189" t="s">
        <v>125</v>
      </c>
      <c r="Z24" s="188">
        <v>11420</v>
      </c>
      <c r="AA24" s="188">
        <v>11420</v>
      </c>
      <c r="AB24" s="188">
        <v>0</v>
      </c>
      <c r="AC24" s="188">
        <v>3128065</v>
      </c>
      <c r="AD24" s="188">
        <v>19500</v>
      </c>
      <c r="AE24" s="190">
        <v>3147565</v>
      </c>
      <c r="AY24" s="192"/>
      <c r="AZ24" s="192"/>
    </row>
    <row r="25" spans="1:52" s="191" customFormat="1" ht="15" customHeight="1">
      <c r="A25" s="187" t="s">
        <v>141</v>
      </c>
      <c r="B25" s="188">
        <v>583</v>
      </c>
      <c r="C25" s="188">
        <v>7</v>
      </c>
      <c r="D25" s="188">
        <v>0</v>
      </c>
      <c r="E25" s="188">
        <v>5831</v>
      </c>
      <c r="F25" s="188">
        <v>24</v>
      </c>
      <c r="G25" s="188">
        <v>5</v>
      </c>
      <c r="H25" s="188">
        <v>6414</v>
      </c>
      <c r="I25" s="188">
        <v>31</v>
      </c>
      <c r="J25" s="188">
        <v>5</v>
      </c>
      <c r="K25" s="188">
        <v>1505</v>
      </c>
      <c r="L25" s="188">
        <v>10534</v>
      </c>
      <c r="M25" s="188">
        <v>12039</v>
      </c>
      <c r="N25" s="188">
        <v>19</v>
      </c>
      <c r="O25" s="188">
        <v>7</v>
      </c>
      <c r="P25" s="188">
        <v>54</v>
      </c>
      <c r="Q25" s="188">
        <v>27</v>
      </c>
      <c r="R25" s="188">
        <v>73</v>
      </c>
      <c r="S25" s="188">
        <v>34</v>
      </c>
      <c r="T25" s="188">
        <v>0</v>
      </c>
      <c r="U25" s="188">
        <v>7</v>
      </c>
      <c r="V25" s="188">
        <v>7</v>
      </c>
      <c r="W25" s="189" t="s">
        <v>125</v>
      </c>
      <c r="X25" s="189" t="s">
        <v>125</v>
      </c>
      <c r="Y25" s="189" t="s">
        <v>125</v>
      </c>
      <c r="Z25" s="188">
        <v>6769</v>
      </c>
      <c r="AA25" s="188">
        <v>6769</v>
      </c>
      <c r="AB25" s="188">
        <v>0</v>
      </c>
      <c r="AC25" s="188">
        <v>1633104</v>
      </c>
      <c r="AD25" s="188">
        <v>4521</v>
      </c>
      <c r="AE25" s="190">
        <v>1637625</v>
      </c>
      <c r="AY25" s="192"/>
      <c r="AZ25" s="192"/>
    </row>
    <row r="26" spans="1:52" s="191" customFormat="1" ht="15" customHeight="1">
      <c r="A26" s="187" t="s">
        <v>142</v>
      </c>
      <c r="B26" s="188">
        <v>243</v>
      </c>
      <c r="C26" s="188">
        <v>1</v>
      </c>
      <c r="D26" s="188">
        <v>0</v>
      </c>
      <c r="E26" s="188">
        <v>1331</v>
      </c>
      <c r="F26" s="188">
        <v>3</v>
      </c>
      <c r="G26" s="188">
        <v>0</v>
      </c>
      <c r="H26" s="188">
        <v>1574</v>
      </c>
      <c r="I26" s="188">
        <v>4</v>
      </c>
      <c r="J26" s="188">
        <v>0</v>
      </c>
      <c r="K26" s="188">
        <v>663</v>
      </c>
      <c r="L26" s="188">
        <v>2420</v>
      </c>
      <c r="M26" s="188">
        <v>3083</v>
      </c>
      <c r="N26" s="188">
        <v>4</v>
      </c>
      <c r="O26" s="188">
        <v>1</v>
      </c>
      <c r="P26" s="188">
        <v>8</v>
      </c>
      <c r="Q26" s="188">
        <v>4</v>
      </c>
      <c r="R26" s="188">
        <v>12</v>
      </c>
      <c r="S26" s="188">
        <v>5</v>
      </c>
      <c r="T26" s="188">
        <v>0</v>
      </c>
      <c r="U26" s="188">
        <v>0</v>
      </c>
      <c r="V26" s="188">
        <v>0</v>
      </c>
      <c r="W26" s="189" t="s">
        <v>125</v>
      </c>
      <c r="X26" s="189" t="s">
        <v>125</v>
      </c>
      <c r="Y26" s="189" t="s">
        <v>125</v>
      </c>
      <c r="Z26" s="188">
        <v>1670</v>
      </c>
      <c r="AA26" s="188">
        <v>1670</v>
      </c>
      <c r="AB26" s="188">
        <v>0</v>
      </c>
      <c r="AC26" s="188">
        <v>430455</v>
      </c>
      <c r="AD26" s="188">
        <v>466</v>
      </c>
      <c r="AE26" s="190">
        <v>430921</v>
      </c>
      <c r="AY26" s="192"/>
      <c r="AZ26" s="192"/>
    </row>
    <row r="27" spans="1:52" s="191" customFormat="1" ht="15" customHeight="1">
      <c r="A27" s="187" t="s">
        <v>143</v>
      </c>
      <c r="B27" s="188">
        <v>83348</v>
      </c>
      <c r="C27" s="188">
        <v>2247</v>
      </c>
      <c r="D27" s="188">
        <v>248</v>
      </c>
      <c r="E27" s="188">
        <v>439310</v>
      </c>
      <c r="F27" s="188">
        <v>5328</v>
      </c>
      <c r="G27" s="188">
        <v>3212</v>
      </c>
      <c r="H27" s="188">
        <v>522658</v>
      </c>
      <c r="I27" s="188">
        <v>7575</v>
      </c>
      <c r="J27" s="188">
        <v>3460</v>
      </c>
      <c r="K27" s="188">
        <v>203504</v>
      </c>
      <c r="L27" s="188">
        <v>845761</v>
      </c>
      <c r="M27" s="188">
        <v>1049265</v>
      </c>
      <c r="N27" s="188">
        <v>4695</v>
      </c>
      <c r="O27" s="188">
        <v>3076</v>
      </c>
      <c r="P27" s="188">
        <v>12309</v>
      </c>
      <c r="Q27" s="188">
        <v>6612</v>
      </c>
      <c r="R27" s="188">
        <v>17004</v>
      </c>
      <c r="S27" s="188">
        <v>9688</v>
      </c>
      <c r="T27" s="188">
        <v>305</v>
      </c>
      <c r="U27" s="188">
        <v>4101</v>
      </c>
      <c r="V27" s="188">
        <v>4406</v>
      </c>
      <c r="W27" s="189" t="s">
        <v>125</v>
      </c>
      <c r="X27" s="189" t="s">
        <v>125</v>
      </c>
      <c r="Y27" s="189" t="s">
        <v>125</v>
      </c>
      <c r="Z27" s="188">
        <v>566729</v>
      </c>
      <c r="AA27" s="188">
        <v>566729</v>
      </c>
      <c r="AB27" s="188">
        <v>0</v>
      </c>
      <c r="AC27" s="188">
        <v>153567552</v>
      </c>
      <c r="AD27" s="188">
        <v>1757942</v>
      </c>
      <c r="AE27" s="190">
        <v>155325494</v>
      </c>
      <c r="AY27" s="192"/>
      <c r="AZ27" s="192"/>
    </row>
    <row r="28" spans="1:52" s="191" customFormat="1" ht="15" customHeight="1">
      <c r="A28" s="187" t="s">
        <v>144</v>
      </c>
      <c r="B28" s="188">
        <v>1794</v>
      </c>
      <c r="C28" s="188">
        <v>15</v>
      </c>
      <c r="D28" s="188">
        <v>1</v>
      </c>
      <c r="E28" s="188">
        <v>9875</v>
      </c>
      <c r="F28" s="188">
        <v>62</v>
      </c>
      <c r="G28" s="188">
        <v>9</v>
      </c>
      <c r="H28" s="188">
        <v>11669</v>
      </c>
      <c r="I28" s="188">
        <v>77</v>
      </c>
      <c r="J28" s="188">
        <v>10</v>
      </c>
      <c r="K28" s="188">
        <v>4893</v>
      </c>
      <c r="L28" s="188">
        <v>23478</v>
      </c>
      <c r="M28" s="188">
        <v>28371</v>
      </c>
      <c r="N28" s="188">
        <v>47</v>
      </c>
      <c r="O28" s="188">
        <v>15</v>
      </c>
      <c r="P28" s="188">
        <v>184</v>
      </c>
      <c r="Q28" s="188">
        <v>65</v>
      </c>
      <c r="R28" s="188">
        <v>231</v>
      </c>
      <c r="S28" s="188">
        <v>80</v>
      </c>
      <c r="T28" s="188">
        <v>1</v>
      </c>
      <c r="U28" s="188">
        <v>17</v>
      </c>
      <c r="V28" s="188">
        <v>18</v>
      </c>
      <c r="W28" s="189" t="s">
        <v>125</v>
      </c>
      <c r="X28" s="189" t="s">
        <v>125</v>
      </c>
      <c r="Y28" s="189" t="s">
        <v>125</v>
      </c>
      <c r="Z28" s="188">
        <v>8817</v>
      </c>
      <c r="AA28" s="188">
        <v>8817</v>
      </c>
      <c r="AB28" s="188">
        <v>0</v>
      </c>
      <c r="AC28" s="188">
        <v>3747785</v>
      </c>
      <c r="AD28" s="188">
        <v>9438</v>
      </c>
      <c r="AE28" s="190">
        <v>3757223</v>
      </c>
      <c r="AY28" s="192"/>
      <c r="AZ28" s="192"/>
    </row>
    <row r="29" spans="1:52" s="191" customFormat="1" ht="15" customHeight="1">
      <c r="A29" s="187" t="s">
        <v>145</v>
      </c>
      <c r="B29" s="188">
        <v>528</v>
      </c>
      <c r="C29" s="188">
        <v>32</v>
      </c>
      <c r="D29" s="188">
        <v>3</v>
      </c>
      <c r="E29" s="188">
        <v>5158</v>
      </c>
      <c r="F29" s="188">
        <v>230</v>
      </c>
      <c r="G29" s="188">
        <v>63</v>
      </c>
      <c r="H29" s="188">
        <v>5686</v>
      </c>
      <c r="I29" s="188">
        <v>262</v>
      </c>
      <c r="J29" s="188">
        <v>66</v>
      </c>
      <c r="K29" s="188">
        <v>1141</v>
      </c>
      <c r="L29" s="188">
        <v>7947</v>
      </c>
      <c r="M29" s="188">
        <v>9088</v>
      </c>
      <c r="N29" s="188">
        <v>65</v>
      </c>
      <c r="O29" s="188">
        <v>36</v>
      </c>
      <c r="P29" s="188">
        <v>463</v>
      </c>
      <c r="Q29" s="188">
        <v>277</v>
      </c>
      <c r="R29" s="188">
        <v>528</v>
      </c>
      <c r="S29" s="188">
        <v>313</v>
      </c>
      <c r="T29" s="188">
        <v>3</v>
      </c>
      <c r="U29" s="188">
        <v>71</v>
      </c>
      <c r="V29" s="188">
        <v>74</v>
      </c>
      <c r="W29" s="189" t="s">
        <v>125</v>
      </c>
      <c r="X29" s="189" t="s">
        <v>125</v>
      </c>
      <c r="Y29" s="189" t="s">
        <v>125</v>
      </c>
      <c r="Z29" s="188">
        <v>6236</v>
      </c>
      <c r="AA29" s="188">
        <v>6236</v>
      </c>
      <c r="AB29" s="188">
        <v>0</v>
      </c>
      <c r="AC29" s="188">
        <v>1363891</v>
      </c>
      <c r="AD29" s="188">
        <v>32818</v>
      </c>
      <c r="AE29" s="190">
        <v>1396709</v>
      </c>
      <c r="AY29" s="192"/>
      <c r="AZ29" s="192"/>
    </row>
    <row r="30" spans="1:52" s="191" customFormat="1" ht="15" customHeight="1">
      <c r="A30" s="187" t="s">
        <v>146</v>
      </c>
      <c r="B30" s="188">
        <v>90</v>
      </c>
      <c r="C30" s="188">
        <v>1</v>
      </c>
      <c r="D30" s="188">
        <v>0</v>
      </c>
      <c r="E30" s="188">
        <v>906</v>
      </c>
      <c r="F30" s="188">
        <v>3</v>
      </c>
      <c r="G30" s="188">
        <v>1</v>
      </c>
      <c r="H30" s="188">
        <v>996</v>
      </c>
      <c r="I30" s="188">
        <v>4</v>
      </c>
      <c r="J30" s="188">
        <v>1</v>
      </c>
      <c r="K30" s="188">
        <v>241</v>
      </c>
      <c r="L30" s="188">
        <v>1563</v>
      </c>
      <c r="M30" s="188">
        <v>1804</v>
      </c>
      <c r="N30" s="188">
        <v>1</v>
      </c>
      <c r="O30" s="188">
        <v>1</v>
      </c>
      <c r="P30" s="188">
        <v>7</v>
      </c>
      <c r="Q30" s="188">
        <v>3</v>
      </c>
      <c r="R30" s="188">
        <v>8</v>
      </c>
      <c r="S30" s="188">
        <v>4</v>
      </c>
      <c r="T30" s="188">
        <v>0</v>
      </c>
      <c r="U30" s="188">
        <v>1</v>
      </c>
      <c r="V30" s="188">
        <v>1</v>
      </c>
      <c r="W30" s="189" t="s">
        <v>125</v>
      </c>
      <c r="X30" s="189" t="s">
        <v>125</v>
      </c>
      <c r="Y30" s="189" t="s">
        <v>125</v>
      </c>
      <c r="Z30" s="188">
        <v>1062</v>
      </c>
      <c r="AA30" s="188">
        <v>1062</v>
      </c>
      <c r="AB30" s="188">
        <v>0</v>
      </c>
      <c r="AC30" s="188">
        <v>246515</v>
      </c>
      <c r="AD30" s="188">
        <v>742</v>
      </c>
      <c r="AE30" s="190">
        <v>247257</v>
      </c>
      <c r="AY30" s="192"/>
      <c r="AZ30" s="192"/>
    </row>
    <row r="31" spans="1:52" s="191" customFormat="1" ht="15" customHeight="1">
      <c r="A31" s="187" t="s">
        <v>147</v>
      </c>
      <c r="B31" s="188">
        <v>559</v>
      </c>
      <c r="C31" s="188">
        <v>8</v>
      </c>
      <c r="D31" s="188">
        <v>1</v>
      </c>
      <c r="E31" s="188">
        <v>5593</v>
      </c>
      <c r="F31" s="188">
        <v>32</v>
      </c>
      <c r="G31" s="188">
        <v>10</v>
      </c>
      <c r="H31" s="188">
        <v>6152</v>
      </c>
      <c r="I31" s="188">
        <v>40</v>
      </c>
      <c r="J31" s="188">
        <v>11</v>
      </c>
      <c r="K31" s="188">
        <v>1410</v>
      </c>
      <c r="L31" s="188">
        <v>10150</v>
      </c>
      <c r="M31" s="188">
        <v>11560</v>
      </c>
      <c r="N31" s="188">
        <v>19</v>
      </c>
      <c r="O31" s="188">
        <v>8</v>
      </c>
      <c r="P31" s="188">
        <v>87</v>
      </c>
      <c r="Q31" s="188">
        <v>34</v>
      </c>
      <c r="R31" s="188">
        <v>106</v>
      </c>
      <c r="S31" s="188">
        <v>42</v>
      </c>
      <c r="T31" s="188">
        <v>1</v>
      </c>
      <c r="U31" s="188">
        <v>12</v>
      </c>
      <c r="V31" s="188">
        <v>13</v>
      </c>
      <c r="W31" s="189" t="s">
        <v>125</v>
      </c>
      <c r="X31" s="189" t="s">
        <v>125</v>
      </c>
      <c r="Y31" s="189" t="s">
        <v>125</v>
      </c>
      <c r="Z31" s="188">
        <v>6604</v>
      </c>
      <c r="AA31" s="188">
        <v>6604</v>
      </c>
      <c r="AB31" s="188">
        <v>0</v>
      </c>
      <c r="AC31" s="188">
        <v>1646180</v>
      </c>
      <c r="AD31" s="188">
        <v>6865</v>
      </c>
      <c r="AE31" s="190">
        <v>1653045</v>
      </c>
      <c r="AY31" s="192"/>
      <c r="AZ31" s="192"/>
    </row>
    <row r="32" spans="1:52" s="191" customFormat="1" ht="15" customHeight="1">
      <c r="A32" s="187" t="s">
        <v>148</v>
      </c>
      <c r="B32" s="188">
        <v>3648</v>
      </c>
      <c r="C32" s="188">
        <v>15</v>
      </c>
      <c r="D32" s="188">
        <v>1</v>
      </c>
      <c r="E32" s="188">
        <v>19932</v>
      </c>
      <c r="F32" s="188">
        <v>84</v>
      </c>
      <c r="G32" s="188">
        <v>11</v>
      </c>
      <c r="H32" s="188">
        <v>23580</v>
      </c>
      <c r="I32" s="188">
        <v>99</v>
      </c>
      <c r="J32" s="188">
        <v>12</v>
      </c>
      <c r="K32" s="188">
        <v>9817</v>
      </c>
      <c r="L32" s="188">
        <v>44983</v>
      </c>
      <c r="M32" s="188">
        <v>54800</v>
      </c>
      <c r="N32" s="188">
        <v>33</v>
      </c>
      <c r="O32" s="188">
        <v>16</v>
      </c>
      <c r="P32" s="188">
        <v>239</v>
      </c>
      <c r="Q32" s="188">
        <v>94</v>
      </c>
      <c r="R32" s="188">
        <v>272</v>
      </c>
      <c r="S32" s="188">
        <v>110</v>
      </c>
      <c r="T32" s="188">
        <v>1</v>
      </c>
      <c r="U32" s="188">
        <v>12</v>
      </c>
      <c r="V32" s="188">
        <v>13</v>
      </c>
      <c r="W32" s="189" t="s">
        <v>125</v>
      </c>
      <c r="X32" s="189" t="s">
        <v>125</v>
      </c>
      <c r="Y32" s="189" t="s">
        <v>125</v>
      </c>
      <c r="Z32" s="188">
        <v>25098</v>
      </c>
      <c r="AA32" s="188">
        <v>25098</v>
      </c>
      <c r="AB32" s="188">
        <v>0</v>
      </c>
      <c r="AC32" s="188">
        <v>7270831</v>
      </c>
      <c r="AD32" s="188">
        <v>10092</v>
      </c>
      <c r="AE32" s="190">
        <v>7280923</v>
      </c>
      <c r="AY32" s="192"/>
      <c r="AZ32" s="192"/>
    </row>
    <row r="33" spans="1:52" s="191" customFormat="1" ht="15" customHeight="1">
      <c r="A33" s="187" t="s">
        <v>149</v>
      </c>
      <c r="B33" s="188">
        <v>77</v>
      </c>
      <c r="C33" s="188">
        <v>1</v>
      </c>
      <c r="D33" s="188">
        <v>0</v>
      </c>
      <c r="E33" s="188">
        <v>459</v>
      </c>
      <c r="F33" s="188">
        <v>0</v>
      </c>
      <c r="G33" s="188">
        <v>1</v>
      </c>
      <c r="H33" s="188">
        <v>536</v>
      </c>
      <c r="I33" s="188">
        <v>1</v>
      </c>
      <c r="J33" s="188">
        <v>1</v>
      </c>
      <c r="K33" s="188">
        <v>210</v>
      </c>
      <c r="L33" s="188">
        <v>948</v>
      </c>
      <c r="M33" s="188">
        <v>1158</v>
      </c>
      <c r="N33" s="188">
        <v>1</v>
      </c>
      <c r="O33" s="188">
        <v>1</v>
      </c>
      <c r="P33" s="188">
        <v>0</v>
      </c>
      <c r="Q33" s="188">
        <v>0</v>
      </c>
      <c r="R33" s="188">
        <v>1</v>
      </c>
      <c r="S33" s="188">
        <v>1</v>
      </c>
      <c r="T33" s="188">
        <v>0</v>
      </c>
      <c r="U33" s="188">
        <v>2</v>
      </c>
      <c r="V33" s="188">
        <v>2</v>
      </c>
      <c r="W33" s="189" t="s">
        <v>125</v>
      </c>
      <c r="X33" s="189" t="s">
        <v>125</v>
      </c>
      <c r="Y33" s="189" t="s">
        <v>125</v>
      </c>
      <c r="Z33" s="188">
        <v>575</v>
      </c>
      <c r="AA33" s="188">
        <v>575</v>
      </c>
      <c r="AB33" s="188">
        <v>0</v>
      </c>
      <c r="AC33" s="188">
        <v>152721</v>
      </c>
      <c r="AD33" s="188">
        <v>493</v>
      </c>
      <c r="AE33" s="190">
        <v>153214</v>
      </c>
      <c r="AY33" s="192"/>
      <c r="AZ33" s="192"/>
    </row>
    <row r="34" spans="1:52" s="191" customFormat="1" ht="15" customHeight="1">
      <c r="A34" s="187" t="s">
        <v>150</v>
      </c>
      <c r="B34" s="188">
        <v>10</v>
      </c>
      <c r="C34" s="188">
        <v>0</v>
      </c>
      <c r="D34" s="188">
        <v>0</v>
      </c>
      <c r="E34" s="188">
        <v>438</v>
      </c>
      <c r="F34" s="188">
        <v>3</v>
      </c>
      <c r="G34" s="188">
        <v>0</v>
      </c>
      <c r="H34" s="188">
        <v>448</v>
      </c>
      <c r="I34" s="188">
        <v>3</v>
      </c>
      <c r="J34" s="188">
        <v>0</v>
      </c>
      <c r="K34" s="188">
        <v>22</v>
      </c>
      <c r="L34" s="188">
        <v>710</v>
      </c>
      <c r="M34" s="188">
        <v>732</v>
      </c>
      <c r="N34" s="188">
        <v>0</v>
      </c>
      <c r="O34" s="188">
        <v>0</v>
      </c>
      <c r="P34" s="188">
        <v>9</v>
      </c>
      <c r="Q34" s="188">
        <v>3</v>
      </c>
      <c r="R34" s="188">
        <v>9</v>
      </c>
      <c r="S34" s="188">
        <v>3</v>
      </c>
      <c r="T34" s="188">
        <v>0</v>
      </c>
      <c r="U34" s="188">
        <v>0</v>
      </c>
      <c r="V34" s="188">
        <v>0</v>
      </c>
      <c r="W34" s="189" t="s">
        <v>125</v>
      </c>
      <c r="X34" s="189" t="s">
        <v>125</v>
      </c>
      <c r="Y34" s="189" t="s">
        <v>125</v>
      </c>
      <c r="Z34" s="188">
        <v>470</v>
      </c>
      <c r="AA34" s="188">
        <v>470</v>
      </c>
      <c r="AB34" s="188">
        <v>0</v>
      </c>
      <c r="AC34" s="188">
        <v>104493</v>
      </c>
      <c r="AD34" s="188">
        <v>471</v>
      </c>
      <c r="AE34" s="190">
        <v>104964</v>
      </c>
      <c r="AY34" s="192"/>
      <c r="AZ34" s="192"/>
    </row>
    <row r="35" spans="1:52" s="191" customFormat="1" ht="15" customHeight="1">
      <c r="A35" s="187" t="s">
        <v>151</v>
      </c>
      <c r="B35" s="188">
        <v>3202</v>
      </c>
      <c r="C35" s="188">
        <v>26</v>
      </c>
      <c r="D35" s="188">
        <v>1</v>
      </c>
      <c r="E35" s="188">
        <v>19680</v>
      </c>
      <c r="F35" s="188">
        <v>259</v>
      </c>
      <c r="G35" s="188">
        <v>27</v>
      </c>
      <c r="H35" s="188">
        <v>22882</v>
      </c>
      <c r="I35" s="188">
        <v>285</v>
      </c>
      <c r="J35" s="188">
        <v>28</v>
      </c>
      <c r="K35" s="188">
        <v>8161</v>
      </c>
      <c r="L35" s="188">
        <v>42702</v>
      </c>
      <c r="M35" s="188">
        <v>50863</v>
      </c>
      <c r="N35" s="188">
        <v>70</v>
      </c>
      <c r="O35" s="188">
        <v>27</v>
      </c>
      <c r="P35" s="188">
        <v>718</v>
      </c>
      <c r="Q35" s="188">
        <v>292</v>
      </c>
      <c r="R35" s="188">
        <v>788</v>
      </c>
      <c r="S35" s="188">
        <v>319</v>
      </c>
      <c r="T35" s="188">
        <v>2</v>
      </c>
      <c r="U35" s="188">
        <v>36</v>
      </c>
      <c r="V35" s="188">
        <v>38</v>
      </c>
      <c r="W35" s="189" t="s">
        <v>125</v>
      </c>
      <c r="X35" s="189" t="s">
        <v>125</v>
      </c>
      <c r="Y35" s="189" t="s">
        <v>125</v>
      </c>
      <c r="Z35" s="188">
        <v>25138</v>
      </c>
      <c r="AA35" s="188">
        <v>25138</v>
      </c>
      <c r="AB35" s="188">
        <v>0</v>
      </c>
      <c r="AC35" s="188">
        <v>7082389</v>
      </c>
      <c r="AD35" s="188">
        <v>34374</v>
      </c>
      <c r="AE35" s="190">
        <v>7116763</v>
      </c>
      <c r="AY35" s="192"/>
      <c r="AZ35" s="192"/>
    </row>
    <row r="36" spans="1:52" s="191" customFormat="1" ht="15" customHeight="1">
      <c r="A36" s="187" t="s">
        <v>152</v>
      </c>
      <c r="B36" s="188">
        <v>298</v>
      </c>
      <c r="C36" s="188">
        <v>9</v>
      </c>
      <c r="D36" s="188">
        <v>0</v>
      </c>
      <c r="E36" s="188">
        <v>2959</v>
      </c>
      <c r="F36" s="188">
        <v>44</v>
      </c>
      <c r="G36" s="188">
        <v>5</v>
      </c>
      <c r="H36" s="188">
        <v>3257</v>
      </c>
      <c r="I36" s="188">
        <v>53</v>
      </c>
      <c r="J36" s="188">
        <v>5</v>
      </c>
      <c r="K36" s="188">
        <v>724</v>
      </c>
      <c r="L36" s="188">
        <v>5805</v>
      </c>
      <c r="M36" s="188">
        <v>6529</v>
      </c>
      <c r="N36" s="188">
        <v>23</v>
      </c>
      <c r="O36" s="188">
        <v>10</v>
      </c>
      <c r="P36" s="188">
        <v>120</v>
      </c>
      <c r="Q36" s="188">
        <v>48</v>
      </c>
      <c r="R36" s="188">
        <v>143</v>
      </c>
      <c r="S36" s="188">
        <v>58</v>
      </c>
      <c r="T36" s="188">
        <v>0</v>
      </c>
      <c r="U36" s="188">
        <v>5</v>
      </c>
      <c r="V36" s="188">
        <v>5</v>
      </c>
      <c r="W36" s="189" t="s">
        <v>125</v>
      </c>
      <c r="X36" s="189" t="s">
        <v>125</v>
      </c>
      <c r="Y36" s="189" t="s">
        <v>125</v>
      </c>
      <c r="Z36" s="188">
        <v>3485</v>
      </c>
      <c r="AA36" s="188">
        <v>3485</v>
      </c>
      <c r="AB36" s="188">
        <v>0</v>
      </c>
      <c r="AC36" s="188">
        <v>829882</v>
      </c>
      <c r="AD36" s="188">
        <v>3485</v>
      </c>
      <c r="AE36" s="190">
        <v>833367</v>
      </c>
      <c r="AY36" s="192"/>
      <c r="AZ36" s="192"/>
    </row>
    <row r="37" spans="1:52" s="191" customFormat="1" ht="15" customHeight="1">
      <c r="A37" s="187" t="s">
        <v>153</v>
      </c>
      <c r="B37" s="188">
        <v>243</v>
      </c>
      <c r="C37" s="188">
        <v>1</v>
      </c>
      <c r="D37" s="188">
        <v>0</v>
      </c>
      <c r="E37" s="188">
        <v>3873</v>
      </c>
      <c r="F37" s="188">
        <v>12</v>
      </c>
      <c r="G37" s="188">
        <v>1</v>
      </c>
      <c r="H37" s="188">
        <v>4116</v>
      </c>
      <c r="I37" s="188">
        <v>13</v>
      </c>
      <c r="J37" s="188">
        <v>1</v>
      </c>
      <c r="K37" s="188">
        <v>604</v>
      </c>
      <c r="L37" s="188">
        <v>6577</v>
      </c>
      <c r="M37" s="188">
        <v>7181</v>
      </c>
      <c r="N37" s="188">
        <v>2</v>
      </c>
      <c r="O37" s="188">
        <v>1</v>
      </c>
      <c r="P37" s="188">
        <v>29</v>
      </c>
      <c r="Q37" s="188">
        <v>13</v>
      </c>
      <c r="R37" s="188">
        <v>31</v>
      </c>
      <c r="S37" s="188">
        <v>14</v>
      </c>
      <c r="T37" s="188">
        <v>0</v>
      </c>
      <c r="U37" s="188">
        <v>1</v>
      </c>
      <c r="V37" s="188">
        <v>1</v>
      </c>
      <c r="W37" s="189" t="s">
        <v>125</v>
      </c>
      <c r="X37" s="189" t="s">
        <v>125</v>
      </c>
      <c r="Y37" s="189" t="s">
        <v>125</v>
      </c>
      <c r="Z37" s="188">
        <v>4373</v>
      </c>
      <c r="AA37" s="188">
        <v>4373</v>
      </c>
      <c r="AB37" s="188">
        <v>0</v>
      </c>
      <c r="AC37" s="188">
        <v>978154</v>
      </c>
      <c r="AD37" s="188">
        <v>1049</v>
      </c>
      <c r="AE37" s="190">
        <v>979203</v>
      </c>
      <c r="AY37" s="192"/>
      <c r="AZ37" s="192"/>
    </row>
    <row r="38" spans="1:52" s="191" customFormat="1" ht="15" customHeight="1">
      <c r="A38" s="187" t="s">
        <v>154</v>
      </c>
      <c r="B38" s="188">
        <v>9970</v>
      </c>
      <c r="C38" s="188">
        <v>210</v>
      </c>
      <c r="D38" s="188">
        <v>4</v>
      </c>
      <c r="E38" s="188">
        <v>104851</v>
      </c>
      <c r="F38" s="188">
        <v>2041</v>
      </c>
      <c r="G38" s="188">
        <v>1110</v>
      </c>
      <c r="H38" s="188">
        <v>114821</v>
      </c>
      <c r="I38" s="188">
        <v>2251</v>
      </c>
      <c r="J38" s="188">
        <v>1114</v>
      </c>
      <c r="K38" s="188">
        <v>25721</v>
      </c>
      <c r="L38" s="188">
        <v>207844</v>
      </c>
      <c r="M38" s="188">
        <v>233565</v>
      </c>
      <c r="N38" s="188">
        <v>458</v>
      </c>
      <c r="O38" s="188">
        <v>304</v>
      </c>
      <c r="P38" s="188">
        <v>4397</v>
      </c>
      <c r="Q38" s="188">
        <v>2607</v>
      </c>
      <c r="R38" s="188">
        <v>4855</v>
      </c>
      <c r="S38" s="188">
        <v>2911</v>
      </c>
      <c r="T38" s="188">
        <v>9</v>
      </c>
      <c r="U38" s="188">
        <v>1512</v>
      </c>
      <c r="V38" s="188">
        <v>1521</v>
      </c>
      <c r="W38" s="189" t="s">
        <v>125</v>
      </c>
      <c r="X38" s="189" t="s">
        <v>125</v>
      </c>
      <c r="Y38" s="189" t="s">
        <v>125</v>
      </c>
      <c r="Z38" s="188">
        <v>123299</v>
      </c>
      <c r="AA38" s="188">
        <v>123299</v>
      </c>
      <c r="AB38" s="188">
        <v>0</v>
      </c>
      <c r="AC38" s="188">
        <v>31762061</v>
      </c>
      <c r="AD38" s="188">
        <v>493510</v>
      </c>
      <c r="AE38" s="190">
        <v>32255571</v>
      </c>
      <c r="AY38" s="192"/>
      <c r="AZ38" s="192"/>
    </row>
    <row r="39" spans="1:52" s="191" customFormat="1" ht="15" customHeight="1">
      <c r="A39" s="187" t="s">
        <v>155</v>
      </c>
      <c r="B39" s="188">
        <v>669</v>
      </c>
      <c r="C39" s="188">
        <v>9</v>
      </c>
      <c r="D39" s="188">
        <v>2</v>
      </c>
      <c r="E39" s="188">
        <v>7943</v>
      </c>
      <c r="F39" s="188">
        <v>40</v>
      </c>
      <c r="G39" s="188">
        <v>33</v>
      </c>
      <c r="H39" s="188">
        <v>8612</v>
      </c>
      <c r="I39" s="188">
        <v>49</v>
      </c>
      <c r="J39" s="188">
        <v>35</v>
      </c>
      <c r="K39" s="188">
        <v>1685</v>
      </c>
      <c r="L39" s="188">
        <v>14566</v>
      </c>
      <c r="M39" s="188">
        <v>16251</v>
      </c>
      <c r="N39" s="188">
        <v>16</v>
      </c>
      <c r="O39" s="188">
        <v>11</v>
      </c>
      <c r="P39" s="188">
        <v>97</v>
      </c>
      <c r="Q39" s="188">
        <v>51</v>
      </c>
      <c r="R39" s="188">
        <v>113</v>
      </c>
      <c r="S39" s="188">
        <v>62</v>
      </c>
      <c r="T39" s="188">
        <v>7</v>
      </c>
      <c r="U39" s="188">
        <v>47</v>
      </c>
      <c r="V39" s="188">
        <v>54</v>
      </c>
      <c r="W39" s="189" t="s">
        <v>125</v>
      </c>
      <c r="X39" s="189" t="s">
        <v>125</v>
      </c>
      <c r="Y39" s="189" t="s">
        <v>125</v>
      </c>
      <c r="Z39" s="188">
        <v>9088</v>
      </c>
      <c r="AA39" s="188">
        <v>9088</v>
      </c>
      <c r="AB39" s="188">
        <v>0</v>
      </c>
      <c r="AC39" s="188">
        <v>2088230</v>
      </c>
      <c r="AD39" s="188">
        <v>13787</v>
      </c>
      <c r="AE39" s="190">
        <v>2102017</v>
      </c>
      <c r="AY39" s="192"/>
      <c r="AZ39" s="192"/>
    </row>
    <row r="40" spans="1:52" s="191" customFormat="1" ht="15" customHeight="1">
      <c r="A40" s="187" t="s">
        <v>156</v>
      </c>
      <c r="B40" s="188">
        <v>86</v>
      </c>
      <c r="C40" s="188">
        <v>0</v>
      </c>
      <c r="D40" s="188">
        <v>0</v>
      </c>
      <c r="E40" s="188">
        <v>1055</v>
      </c>
      <c r="F40" s="188">
        <v>1</v>
      </c>
      <c r="G40" s="188">
        <v>0</v>
      </c>
      <c r="H40" s="188">
        <v>1141</v>
      </c>
      <c r="I40" s="188">
        <v>1</v>
      </c>
      <c r="J40" s="188">
        <v>0</v>
      </c>
      <c r="K40" s="188">
        <v>222</v>
      </c>
      <c r="L40" s="188">
        <v>1887</v>
      </c>
      <c r="M40" s="188">
        <v>2109</v>
      </c>
      <c r="N40" s="188">
        <v>0</v>
      </c>
      <c r="O40" s="188">
        <v>0</v>
      </c>
      <c r="P40" s="188">
        <v>3</v>
      </c>
      <c r="Q40" s="188">
        <v>1</v>
      </c>
      <c r="R40" s="188">
        <v>3</v>
      </c>
      <c r="S40" s="188">
        <v>1</v>
      </c>
      <c r="T40" s="188">
        <v>0</v>
      </c>
      <c r="U40" s="188">
        <v>0</v>
      </c>
      <c r="V40" s="188">
        <v>0</v>
      </c>
      <c r="W40" s="189" t="s">
        <v>125</v>
      </c>
      <c r="X40" s="189" t="s">
        <v>125</v>
      </c>
      <c r="Y40" s="189" t="s">
        <v>125</v>
      </c>
      <c r="Z40" s="188">
        <v>1182</v>
      </c>
      <c r="AA40" s="188">
        <v>1182</v>
      </c>
      <c r="AB40" s="188">
        <v>0</v>
      </c>
      <c r="AC40" s="188">
        <v>287837</v>
      </c>
      <c r="AD40" s="188">
        <v>138</v>
      </c>
      <c r="AE40" s="190">
        <v>287975</v>
      </c>
      <c r="AY40" s="192"/>
      <c r="AZ40" s="192"/>
    </row>
    <row r="41" spans="1:52" s="191" customFormat="1" ht="15" customHeight="1">
      <c r="A41" s="187" t="s">
        <v>157</v>
      </c>
      <c r="B41" s="188">
        <v>14638</v>
      </c>
      <c r="C41" s="188">
        <v>107</v>
      </c>
      <c r="D41" s="188">
        <v>8</v>
      </c>
      <c r="E41" s="188">
        <v>107642</v>
      </c>
      <c r="F41" s="188">
        <v>796</v>
      </c>
      <c r="G41" s="188">
        <v>182</v>
      </c>
      <c r="H41" s="188">
        <v>122280</v>
      </c>
      <c r="I41" s="188">
        <v>903</v>
      </c>
      <c r="J41" s="188">
        <v>190</v>
      </c>
      <c r="K41" s="188">
        <v>39547</v>
      </c>
      <c r="L41" s="188">
        <v>230981</v>
      </c>
      <c r="M41" s="188">
        <v>270528</v>
      </c>
      <c r="N41" s="188">
        <v>262</v>
      </c>
      <c r="O41" s="188">
        <v>137</v>
      </c>
      <c r="P41" s="188">
        <v>2212</v>
      </c>
      <c r="Q41" s="188">
        <v>888</v>
      </c>
      <c r="R41" s="188">
        <v>2474</v>
      </c>
      <c r="S41" s="188">
        <v>1025</v>
      </c>
      <c r="T41" s="188">
        <v>11</v>
      </c>
      <c r="U41" s="188">
        <v>238</v>
      </c>
      <c r="V41" s="188">
        <v>249</v>
      </c>
      <c r="W41" s="189" t="s">
        <v>125</v>
      </c>
      <c r="X41" s="189" t="s">
        <v>125</v>
      </c>
      <c r="Y41" s="189" t="s">
        <v>125</v>
      </c>
      <c r="Z41" s="188">
        <v>129333</v>
      </c>
      <c r="AA41" s="188">
        <v>129333</v>
      </c>
      <c r="AB41" s="188">
        <v>0</v>
      </c>
      <c r="AC41" s="188">
        <v>36152663</v>
      </c>
      <c r="AD41" s="188">
        <v>128127</v>
      </c>
      <c r="AE41" s="190">
        <v>36280790</v>
      </c>
      <c r="AY41" s="192"/>
      <c r="AZ41" s="192"/>
    </row>
    <row r="42" spans="1:52" s="191" customFormat="1" ht="15" customHeight="1">
      <c r="A42" s="187" t="s">
        <v>158</v>
      </c>
      <c r="B42" s="188">
        <v>13887</v>
      </c>
      <c r="C42" s="188">
        <v>595</v>
      </c>
      <c r="D42" s="188">
        <v>9</v>
      </c>
      <c r="E42" s="188">
        <v>82203</v>
      </c>
      <c r="F42" s="188">
        <v>1115</v>
      </c>
      <c r="G42" s="188">
        <v>559</v>
      </c>
      <c r="H42" s="188">
        <v>96090</v>
      </c>
      <c r="I42" s="188">
        <v>1710</v>
      </c>
      <c r="J42" s="188">
        <v>568</v>
      </c>
      <c r="K42" s="188">
        <v>36164</v>
      </c>
      <c r="L42" s="188">
        <v>164334</v>
      </c>
      <c r="M42" s="188">
        <v>200498</v>
      </c>
      <c r="N42" s="188">
        <v>1409</v>
      </c>
      <c r="O42" s="188">
        <v>986</v>
      </c>
      <c r="P42" s="188">
        <v>2563</v>
      </c>
      <c r="Q42" s="188">
        <v>1630</v>
      </c>
      <c r="R42" s="188">
        <v>3972</v>
      </c>
      <c r="S42" s="188">
        <v>2616</v>
      </c>
      <c r="T42" s="188">
        <v>17</v>
      </c>
      <c r="U42" s="188">
        <v>750</v>
      </c>
      <c r="V42" s="188">
        <v>767</v>
      </c>
      <c r="W42" s="189" t="s">
        <v>125</v>
      </c>
      <c r="X42" s="189" t="s">
        <v>125</v>
      </c>
      <c r="Y42" s="189" t="s">
        <v>125</v>
      </c>
      <c r="Z42" s="188">
        <v>112834</v>
      </c>
      <c r="AA42" s="188">
        <v>112834</v>
      </c>
      <c r="AB42" s="188">
        <v>0</v>
      </c>
      <c r="AC42" s="188">
        <v>28688943</v>
      </c>
      <c r="AD42" s="188">
        <v>383947</v>
      </c>
      <c r="AE42" s="190">
        <v>29072890</v>
      </c>
      <c r="AY42" s="192"/>
      <c r="AZ42" s="192"/>
    </row>
    <row r="43" spans="1:52" s="191" customFormat="1" ht="15" customHeight="1">
      <c r="A43" s="187" t="s">
        <v>159</v>
      </c>
      <c r="B43" s="188">
        <v>259</v>
      </c>
      <c r="C43" s="188">
        <v>1</v>
      </c>
      <c r="D43" s="188">
        <v>0</v>
      </c>
      <c r="E43" s="188">
        <v>2066</v>
      </c>
      <c r="F43" s="188">
        <v>20</v>
      </c>
      <c r="G43" s="188">
        <v>1</v>
      </c>
      <c r="H43" s="188">
        <v>2325</v>
      </c>
      <c r="I43" s="188">
        <v>21</v>
      </c>
      <c r="J43" s="188">
        <v>1</v>
      </c>
      <c r="K43" s="188">
        <v>698</v>
      </c>
      <c r="L43" s="188">
        <v>4516</v>
      </c>
      <c r="M43" s="188">
        <v>5214</v>
      </c>
      <c r="N43" s="188">
        <v>5</v>
      </c>
      <c r="O43" s="188">
        <v>1</v>
      </c>
      <c r="P43" s="188">
        <v>57</v>
      </c>
      <c r="Q43" s="188">
        <v>22</v>
      </c>
      <c r="R43" s="188">
        <v>62</v>
      </c>
      <c r="S43" s="188">
        <v>23</v>
      </c>
      <c r="T43" s="188">
        <v>0</v>
      </c>
      <c r="U43" s="188">
        <v>1</v>
      </c>
      <c r="V43" s="188">
        <v>1</v>
      </c>
      <c r="W43" s="189" t="s">
        <v>125</v>
      </c>
      <c r="X43" s="189" t="s">
        <v>125</v>
      </c>
      <c r="Y43" s="189" t="s">
        <v>125</v>
      </c>
      <c r="Z43" s="188">
        <v>2556</v>
      </c>
      <c r="AA43" s="188">
        <v>2556</v>
      </c>
      <c r="AB43" s="188">
        <v>0</v>
      </c>
      <c r="AC43" s="188">
        <v>698057</v>
      </c>
      <c r="AD43" s="188">
        <v>2392</v>
      </c>
      <c r="AE43" s="190">
        <v>700449</v>
      </c>
      <c r="AY43" s="192"/>
      <c r="AZ43" s="192"/>
    </row>
    <row r="44" spans="1:52" s="191" customFormat="1" ht="15" customHeight="1">
      <c r="A44" s="187" t="s">
        <v>160</v>
      </c>
      <c r="B44" s="188">
        <v>23642</v>
      </c>
      <c r="C44" s="188">
        <v>149</v>
      </c>
      <c r="D44" s="188">
        <v>7</v>
      </c>
      <c r="E44" s="188">
        <v>143282</v>
      </c>
      <c r="F44" s="188">
        <v>920</v>
      </c>
      <c r="G44" s="188">
        <v>344</v>
      </c>
      <c r="H44" s="188">
        <v>166924</v>
      </c>
      <c r="I44" s="188">
        <v>1069</v>
      </c>
      <c r="J44" s="188">
        <v>351</v>
      </c>
      <c r="K44" s="188">
        <v>62453</v>
      </c>
      <c r="L44" s="188">
        <v>302613</v>
      </c>
      <c r="M44" s="188">
        <v>365066</v>
      </c>
      <c r="N44" s="188">
        <v>371</v>
      </c>
      <c r="O44" s="188">
        <v>172</v>
      </c>
      <c r="P44" s="188">
        <v>2411</v>
      </c>
      <c r="Q44" s="188">
        <v>1095</v>
      </c>
      <c r="R44" s="188">
        <v>2782</v>
      </c>
      <c r="S44" s="188">
        <v>1267</v>
      </c>
      <c r="T44" s="188">
        <v>10</v>
      </c>
      <c r="U44" s="188">
        <v>463</v>
      </c>
      <c r="V44" s="188">
        <v>473</v>
      </c>
      <c r="W44" s="189" t="s">
        <v>125</v>
      </c>
      <c r="X44" s="189" t="s">
        <v>125</v>
      </c>
      <c r="Y44" s="189" t="s">
        <v>125</v>
      </c>
      <c r="Z44" s="188">
        <v>175681</v>
      </c>
      <c r="AA44" s="188">
        <v>175681</v>
      </c>
      <c r="AB44" s="188">
        <v>0</v>
      </c>
      <c r="AC44" s="188">
        <v>49557977</v>
      </c>
      <c r="AD44" s="188">
        <v>188305</v>
      </c>
      <c r="AE44" s="190">
        <v>49746282</v>
      </c>
      <c r="AY44" s="192"/>
      <c r="AZ44" s="192"/>
    </row>
    <row r="45" spans="1:52" s="191" customFormat="1" ht="15" customHeight="1">
      <c r="A45" s="187" t="s">
        <v>161</v>
      </c>
      <c r="B45" s="188">
        <v>12293</v>
      </c>
      <c r="C45" s="188">
        <v>307</v>
      </c>
      <c r="D45" s="188">
        <v>5</v>
      </c>
      <c r="E45" s="188">
        <v>120011</v>
      </c>
      <c r="F45" s="188">
        <v>1725</v>
      </c>
      <c r="G45" s="188">
        <v>736</v>
      </c>
      <c r="H45" s="188">
        <v>132304</v>
      </c>
      <c r="I45" s="188">
        <v>2032</v>
      </c>
      <c r="J45" s="188">
        <v>741</v>
      </c>
      <c r="K45" s="188">
        <v>33856</v>
      </c>
      <c r="L45" s="188">
        <v>232610</v>
      </c>
      <c r="M45" s="188">
        <v>266466</v>
      </c>
      <c r="N45" s="188">
        <v>647</v>
      </c>
      <c r="O45" s="188">
        <v>404</v>
      </c>
      <c r="P45" s="188">
        <v>4051</v>
      </c>
      <c r="Q45" s="188">
        <v>2015</v>
      </c>
      <c r="R45" s="188">
        <v>4698</v>
      </c>
      <c r="S45" s="188">
        <v>2419</v>
      </c>
      <c r="T45" s="188">
        <v>13</v>
      </c>
      <c r="U45" s="188">
        <v>921</v>
      </c>
      <c r="V45" s="188">
        <v>934</v>
      </c>
      <c r="W45" s="189" t="s">
        <v>125</v>
      </c>
      <c r="X45" s="189" t="s">
        <v>125</v>
      </c>
      <c r="Y45" s="189" t="s">
        <v>125</v>
      </c>
      <c r="Z45" s="188">
        <v>158319</v>
      </c>
      <c r="AA45" s="188">
        <v>158319</v>
      </c>
      <c r="AB45" s="188">
        <v>0</v>
      </c>
      <c r="AC45" s="188">
        <v>35842439</v>
      </c>
      <c r="AD45" s="188">
        <v>361579</v>
      </c>
      <c r="AE45" s="190">
        <v>36204018</v>
      </c>
      <c r="AY45" s="192"/>
      <c r="AZ45" s="192"/>
    </row>
    <row r="46" spans="1:52" s="191" customFormat="1" ht="15" customHeight="1">
      <c r="A46" s="187" t="s">
        <v>162</v>
      </c>
      <c r="B46" s="188">
        <v>1945</v>
      </c>
      <c r="C46" s="188">
        <v>114</v>
      </c>
      <c r="D46" s="188">
        <v>7</v>
      </c>
      <c r="E46" s="188">
        <v>29810</v>
      </c>
      <c r="F46" s="188">
        <v>799</v>
      </c>
      <c r="G46" s="188">
        <v>1149</v>
      </c>
      <c r="H46" s="188">
        <v>31755</v>
      </c>
      <c r="I46" s="188">
        <v>913</v>
      </c>
      <c r="J46" s="188">
        <v>1156</v>
      </c>
      <c r="K46" s="188">
        <v>4150</v>
      </c>
      <c r="L46" s="188">
        <v>43235</v>
      </c>
      <c r="M46" s="188">
        <v>47385</v>
      </c>
      <c r="N46" s="188">
        <v>193</v>
      </c>
      <c r="O46" s="188">
        <v>135</v>
      </c>
      <c r="P46" s="188">
        <v>1495</v>
      </c>
      <c r="Q46" s="188">
        <v>1015</v>
      </c>
      <c r="R46" s="188">
        <v>1688</v>
      </c>
      <c r="S46" s="188">
        <v>1150</v>
      </c>
      <c r="T46" s="188">
        <v>13</v>
      </c>
      <c r="U46" s="188">
        <v>1215</v>
      </c>
      <c r="V46" s="188">
        <v>1228</v>
      </c>
      <c r="W46" s="189" t="s">
        <v>125</v>
      </c>
      <c r="X46" s="189" t="s">
        <v>125</v>
      </c>
      <c r="Y46" s="189" t="s">
        <v>125</v>
      </c>
      <c r="Z46" s="188">
        <v>36550</v>
      </c>
      <c r="AA46" s="188">
        <v>36550</v>
      </c>
      <c r="AB46" s="188">
        <v>0</v>
      </c>
      <c r="AC46" s="188">
        <v>6991956</v>
      </c>
      <c r="AD46" s="188">
        <v>297578</v>
      </c>
      <c r="AE46" s="190">
        <v>7289534</v>
      </c>
      <c r="AY46" s="192"/>
      <c r="AZ46" s="192"/>
    </row>
    <row r="47" spans="1:52" s="191" customFormat="1" ht="15" customHeight="1">
      <c r="A47" s="187" t="s">
        <v>163</v>
      </c>
      <c r="B47" s="188">
        <v>6776</v>
      </c>
      <c r="C47" s="188">
        <v>61</v>
      </c>
      <c r="D47" s="188">
        <v>1</v>
      </c>
      <c r="E47" s="188">
        <v>41914</v>
      </c>
      <c r="F47" s="188">
        <v>431</v>
      </c>
      <c r="G47" s="188">
        <v>158</v>
      </c>
      <c r="H47" s="188">
        <v>48690</v>
      </c>
      <c r="I47" s="188">
        <v>492</v>
      </c>
      <c r="J47" s="188">
        <v>159</v>
      </c>
      <c r="K47" s="188">
        <v>16704</v>
      </c>
      <c r="L47" s="188">
        <v>91787</v>
      </c>
      <c r="M47" s="188">
        <v>108491</v>
      </c>
      <c r="N47" s="188">
        <v>149</v>
      </c>
      <c r="O47" s="188">
        <v>74</v>
      </c>
      <c r="P47" s="188">
        <v>1211</v>
      </c>
      <c r="Q47" s="188">
        <v>533</v>
      </c>
      <c r="R47" s="188">
        <v>1360</v>
      </c>
      <c r="S47" s="188">
        <v>607</v>
      </c>
      <c r="T47" s="188">
        <v>1</v>
      </c>
      <c r="U47" s="188">
        <v>218</v>
      </c>
      <c r="V47" s="188">
        <v>219</v>
      </c>
      <c r="W47" s="189" t="s">
        <v>125</v>
      </c>
      <c r="X47" s="189" t="s">
        <v>125</v>
      </c>
      <c r="Y47" s="189" t="s">
        <v>125</v>
      </c>
      <c r="Z47" s="188">
        <v>52010</v>
      </c>
      <c r="AA47" s="188">
        <v>52010</v>
      </c>
      <c r="AB47" s="188">
        <v>0</v>
      </c>
      <c r="AC47" s="188">
        <v>14555229</v>
      </c>
      <c r="AD47" s="188">
        <v>93135</v>
      </c>
      <c r="AE47" s="190">
        <v>14648364</v>
      </c>
      <c r="AY47" s="192"/>
      <c r="AZ47" s="192"/>
    </row>
    <row r="48" spans="1:52" s="191" customFormat="1" ht="15" customHeight="1">
      <c r="A48" s="187" t="s">
        <v>164</v>
      </c>
      <c r="B48" s="188">
        <v>883</v>
      </c>
      <c r="C48" s="188">
        <v>6</v>
      </c>
      <c r="D48" s="188">
        <v>0</v>
      </c>
      <c r="E48" s="188">
        <v>8685</v>
      </c>
      <c r="F48" s="188">
        <v>37</v>
      </c>
      <c r="G48" s="188">
        <v>6</v>
      </c>
      <c r="H48" s="188">
        <v>9568</v>
      </c>
      <c r="I48" s="188">
        <v>43</v>
      </c>
      <c r="J48" s="188">
        <v>6</v>
      </c>
      <c r="K48" s="188">
        <v>2158</v>
      </c>
      <c r="L48" s="188">
        <v>14970</v>
      </c>
      <c r="M48" s="188">
        <v>17128</v>
      </c>
      <c r="N48" s="188">
        <v>14</v>
      </c>
      <c r="O48" s="188">
        <v>8</v>
      </c>
      <c r="P48" s="188">
        <v>102</v>
      </c>
      <c r="Q48" s="188">
        <v>44</v>
      </c>
      <c r="R48" s="188">
        <v>116</v>
      </c>
      <c r="S48" s="188">
        <v>52</v>
      </c>
      <c r="T48" s="188">
        <v>0</v>
      </c>
      <c r="U48" s="188">
        <v>7</v>
      </c>
      <c r="V48" s="188">
        <v>7</v>
      </c>
      <c r="W48" s="189" t="s">
        <v>125</v>
      </c>
      <c r="X48" s="189" t="s">
        <v>125</v>
      </c>
      <c r="Y48" s="189" t="s">
        <v>125</v>
      </c>
      <c r="Z48" s="188">
        <v>10119</v>
      </c>
      <c r="AA48" s="188">
        <v>10119</v>
      </c>
      <c r="AB48" s="188">
        <v>0</v>
      </c>
      <c r="AC48" s="188">
        <v>2313724</v>
      </c>
      <c r="AD48" s="188">
        <v>4685</v>
      </c>
      <c r="AE48" s="190">
        <v>2318409</v>
      </c>
      <c r="AY48" s="192"/>
      <c r="AZ48" s="192"/>
    </row>
    <row r="49" spans="1:52" s="191" customFormat="1" ht="15" customHeight="1">
      <c r="A49" s="187" t="s">
        <v>165</v>
      </c>
      <c r="B49" s="188">
        <v>733</v>
      </c>
      <c r="C49" s="188">
        <v>26</v>
      </c>
      <c r="D49" s="188">
        <v>0</v>
      </c>
      <c r="E49" s="188">
        <v>12773</v>
      </c>
      <c r="F49" s="188">
        <v>399</v>
      </c>
      <c r="G49" s="188">
        <v>148</v>
      </c>
      <c r="H49" s="188">
        <v>13506</v>
      </c>
      <c r="I49" s="188">
        <v>425</v>
      </c>
      <c r="J49" s="188">
        <v>148</v>
      </c>
      <c r="K49" s="188">
        <v>1719</v>
      </c>
      <c r="L49" s="188">
        <v>23782</v>
      </c>
      <c r="M49" s="188">
        <v>25501</v>
      </c>
      <c r="N49" s="188">
        <v>59</v>
      </c>
      <c r="O49" s="188">
        <v>27</v>
      </c>
      <c r="P49" s="188">
        <v>943</v>
      </c>
      <c r="Q49" s="188">
        <v>488</v>
      </c>
      <c r="R49" s="188">
        <v>1002</v>
      </c>
      <c r="S49" s="188">
        <v>515</v>
      </c>
      <c r="T49" s="188">
        <v>0</v>
      </c>
      <c r="U49" s="188">
        <v>193</v>
      </c>
      <c r="V49" s="188">
        <v>193</v>
      </c>
      <c r="W49" s="189" t="s">
        <v>125</v>
      </c>
      <c r="X49" s="189" t="s">
        <v>125</v>
      </c>
      <c r="Y49" s="189" t="s">
        <v>125</v>
      </c>
      <c r="Z49" s="188">
        <v>16199</v>
      </c>
      <c r="AA49" s="188">
        <v>16199</v>
      </c>
      <c r="AB49" s="188">
        <v>0</v>
      </c>
      <c r="AC49" s="188">
        <v>3446866</v>
      </c>
      <c r="AD49" s="188">
        <v>64712</v>
      </c>
      <c r="AE49" s="190">
        <v>3511578</v>
      </c>
      <c r="AY49" s="192"/>
      <c r="AZ49" s="192"/>
    </row>
    <row r="50" spans="1:52" s="191" customFormat="1" ht="15" customHeight="1">
      <c r="A50" s="187" t="s">
        <v>166</v>
      </c>
      <c r="B50" s="188">
        <v>2499</v>
      </c>
      <c r="C50" s="188">
        <v>20</v>
      </c>
      <c r="D50" s="188">
        <v>0</v>
      </c>
      <c r="E50" s="188">
        <v>16471</v>
      </c>
      <c r="F50" s="188">
        <v>130</v>
      </c>
      <c r="G50" s="188">
        <v>61</v>
      </c>
      <c r="H50" s="188">
        <v>18970</v>
      </c>
      <c r="I50" s="188">
        <v>150</v>
      </c>
      <c r="J50" s="188">
        <v>61</v>
      </c>
      <c r="K50" s="188">
        <v>6451</v>
      </c>
      <c r="L50" s="188">
        <v>32834</v>
      </c>
      <c r="M50" s="188">
        <v>39285</v>
      </c>
      <c r="N50" s="188">
        <v>53</v>
      </c>
      <c r="O50" s="188">
        <v>21</v>
      </c>
      <c r="P50" s="188">
        <v>344</v>
      </c>
      <c r="Q50" s="188">
        <v>138</v>
      </c>
      <c r="R50" s="188">
        <v>397</v>
      </c>
      <c r="S50" s="188">
        <v>159</v>
      </c>
      <c r="T50" s="188">
        <v>0</v>
      </c>
      <c r="U50" s="188">
        <v>75</v>
      </c>
      <c r="V50" s="188">
        <v>75</v>
      </c>
      <c r="W50" s="189" t="s">
        <v>125</v>
      </c>
      <c r="X50" s="189" t="s">
        <v>125</v>
      </c>
      <c r="Y50" s="189" t="s">
        <v>125</v>
      </c>
      <c r="Z50" s="188">
        <v>22536</v>
      </c>
      <c r="AA50" s="188">
        <v>22536</v>
      </c>
      <c r="AB50" s="188">
        <v>0</v>
      </c>
      <c r="AC50" s="188">
        <v>5416457</v>
      </c>
      <c r="AD50" s="188">
        <v>27150</v>
      </c>
      <c r="AE50" s="190">
        <v>5443607</v>
      </c>
      <c r="AY50" s="192"/>
      <c r="AZ50" s="192"/>
    </row>
    <row r="51" spans="1:52" s="191" customFormat="1" ht="15" customHeight="1">
      <c r="A51" s="187" t="s">
        <v>167</v>
      </c>
      <c r="B51" s="188">
        <v>3941</v>
      </c>
      <c r="C51" s="188">
        <v>97</v>
      </c>
      <c r="D51" s="188">
        <v>2</v>
      </c>
      <c r="E51" s="188">
        <v>43403</v>
      </c>
      <c r="F51" s="188">
        <v>831</v>
      </c>
      <c r="G51" s="188">
        <v>616</v>
      </c>
      <c r="H51" s="188">
        <v>47344</v>
      </c>
      <c r="I51" s="188">
        <v>928</v>
      </c>
      <c r="J51" s="188">
        <v>618</v>
      </c>
      <c r="K51" s="188">
        <v>9532</v>
      </c>
      <c r="L51" s="188">
        <v>82303</v>
      </c>
      <c r="M51" s="188">
        <v>91835</v>
      </c>
      <c r="N51" s="188">
        <v>213</v>
      </c>
      <c r="O51" s="188">
        <v>120</v>
      </c>
      <c r="P51" s="188">
        <v>1814</v>
      </c>
      <c r="Q51" s="188">
        <v>1058</v>
      </c>
      <c r="R51" s="188">
        <v>2027</v>
      </c>
      <c r="S51" s="188">
        <v>1178</v>
      </c>
      <c r="T51" s="188">
        <v>2</v>
      </c>
      <c r="U51" s="188">
        <v>884</v>
      </c>
      <c r="V51" s="188">
        <v>886</v>
      </c>
      <c r="W51" s="189" t="s">
        <v>125</v>
      </c>
      <c r="X51" s="189" t="s">
        <v>125</v>
      </c>
      <c r="Y51" s="189" t="s">
        <v>125</v>
      </c>
      <c r="Z51" s="188">
        <v>50639</v>
      </c>
      <c r="AA51" s="188">
        <v>50639</v>
      </c>
      <c r="AB51" s="188">
        <v>0</v>
      </c>
      <c r="AC51" s="188">
        <v>12582936</v>
      </c>
      <c r="AD51" s="188">
        <v>228209</v>
      </c>
      <c r="AE51" s="190">
        <v>12811145</v>
      </c>
      <c r="AY51" s="192"/>
      <c r="AZ51" s="192"/>
    </row>
    <row r="52" spans="1:52" s="191" customFormat="1" ht="15" customHeight="1">
      <c r="A52" s="187" t="s">
        <v>168</v>
      </c>
      <c r="B52" s="188">
        <v>1110</v>
      </c>
      <c r="C52" s="188">
        <v>5</v>
      </c>
      <c r="D52" s="188">
        <v>0</v>
      </c>
      <c r="E52" s="188">
        <v>13658</v>
      </c>
      <c r="F52" s="188">
        <v>45</v>
      </c>
      <c r="G52" s="188">
        <v>12</v>
      </c>
      <c r="H52" s="188">
        <v>14768</v>
      </c>
      <c r="I52" s="188">
        <v>50</v>
      </c>
      <c r="J52" s="188">
        <v>12</v>
      </c>
      <c r="K52" s="188">
        <v>2797</v>
      </c>
      <c r="L52" s="188">
        <v>24091</v>
      </c>
      <c r="M52" s="188">
        <v>26888</v>
      </c>
      <c r="N52" s="188">
        <v>13</v>
      </c>
      <c r="O52" s="188">
        <v>5</v>
      </c>
      <c r="P52" s="188">
        <v>108</v>
      </c>
      <c r="Q52" s="188">
        <v>50</v>
      </c>
      <c r="R52" s="188">
        <v>121</v>
      </c>
      <c r="S52" s="188">
        <v>55</v>
      </c>
      <c r="T52" s="188">
        <v>0</v>
      </c>
      <c r="U52" s="188">
        <v>15</v>
      </c>
      <c r="V52" s="188">
        <v>15</v>
      </c>
      <c r="W52" s="189" t="s">
        <v>125</v>
      </c>
      <c r="X52" s="189" t="s">
        <v>125</v>
      </c>
      <c r="Y52" s="189" t="s">
        <v>125</v>
      </c>
      <c r="Z52" s="188">
        <v>16886</v>
      </c>
      <c r="AA52" s="188">
        <v>16886</v>
      </c>
      <c r="AB52" s="188">
        <v>0</v>
      </c>
      <c r="AC52" s="188">
        <v>3690603</v>
      </c>
      <c r="AD52" s="188">
        <v>7502</v>
      </c>
      <c r="AE52" s="190">
        <v>3698105</v>
      </c>
      <c r="AY52" s="192"/>
      <c r="AZ52" s="192"/>
    </row>
    <row r="53" spans="1:52" s="191" customFormat="1" ht="15" customHeight="1">
      <c r="A53" s="187" t="s">
        <v>169</v>
      </c>
      <c r="B53" s="188">
        <v>1229</v>
      </c>
      <c r="C53" s="188">
        <v>6</v>
      </c>
      <c r="D53" s="188">
        <v>0</v>
      </c>
      <c r="E53" s="188">
        <v>11174</v>
      </c>
      <c r="F53" s="188">
        <v>23</v>
      </c>
      <c r="G53" s="188">
        <v>18</v>
      </c>
      <c r="H53" s="188">
        <v>12403</v>
      </c>
      <c r="I53" s="188">
        <v>29</v>
      </c>
      <c r="J53" s="188">
        <v>18</v>
      </c>
      <c r="K53" s="188">
        <v>2957</v>
      </c>
      <c r="L53" s="188">
        <v>20398</v>
      </c>
      <c r="M53" s="188">
        <v>23355</v>
      </c>
      <c r="N53" s="188">
        <v>15</v>
      </c>
      <c r="O53" s="188">
        <v>6</v>
      </c>
      <c r="P53" s="188">
        <v>59</v>
      </c>
      <c r="Q53" s="188">
        <v>25</v>
      </c>
      <c r="R53" s="188">
        <v>74</v>
      </c>
      <c r="S53" s="188">
        <v>31</v>
      </c>
      <c r="T53" s="188">
        <v>0</v>
      </c>
      <c r="U53" s="188">
        <v>20</v>
      </c>
      <c r="V53" s="188">
        <v>20</v>
      </c>
      <c r="W53" s="189" t="s">
        <v>125</v>
      </c>
      <c r="X53" s="189" t="s">
        <v>125</v>
      </c>
      <c r="Y53" s="189" t="s">
        <v>125</v>
      </c>
      <c r="Z53" s="188">
        <v>13241</v>
      </c>
      <c r="AA53" s="188">
        <v>13241</v>
      </c>
      <c r="AB53" s="188">
        <v>0</v>
      </c>
      <c r="AC53" s="188">
        <v>3057794</v>
      </c>
      <c r="AD53" s="188">
        <v>5559</v>
      </c>
      <c r="AE53" s="190">
        <v>3063353</v>
      </c>
      <c r="AY53" s="192"/>
      <c r="AZ53" s="192"/>
    </row>
    <row r="54" spans="1:52" s="191" customFormat="1" ht="15" customHeight="1">
      <c r="A54" s="187" t="s">
        <v>170</v>
      </c>
      <c r="B54" s="188">
        <v>12</v>
      </c>
      <c r="C54" s="188">
        <v>0</v>
      </c>
      <c r="D54" s="188">
        <v>0</v>
      </c>
      <c r="E54" s="188">
        <v>153</v>
      </c>
      <c r="F54" s="188">
        <v>0</v>
      </c>
      <c r="G54" s="188">
        <v>0</v>
      </c>
      <c r="H54" s="188">
        <v>165</v>
      </c>
      <c r="I54" s="188">
        <v>0</v>
      </c>
      <c r="J54" s="188">
        <v>0</v>
      </c>
      <c r="K54" s="188">
        <v>32</v>
      </c>
      <c r="L54" s="188">
        <v>250</v>
      </c>
      <c r="M54" s="188">
        <v>282</v>
      </c>
      <c r="N54" s="188">
        <v>0</v>
      </c>
      <c r="O54" s="188">
        <v>0</v>
      </c>
      <c r="P54" s="188">
        <v>0</v>
      </c>
      <c r="Q54" s="188">
        <v>0</v>
      </c>
      <c r="R54" s="188">
        <v>0</v>
      </c>
      <c r="S54" s="188">
        <v>0</v>
      </c>
      <c r="T54" s="188">
        <v>0</v>
      </c>
      <c r="U54" s="188">
        <v>0</v>
      </c>
      <c r="V54" s="188">
        <v>0</v>
      </c>
      <c r="W54" s="189" t="s">
        <v>125</v>
      </c>
      <c r="X54" s="189" t="s">
        <v>125</v>
      </c>
      <c r="Y54" s="189" t="s">
        <v>125</v>
      </c>
      <c r="Z54" s="188">
        <v>172</v>
      </c>
      <c r="AA54" s="188">
        <v>172</v>
      </c>
      <c r="AB54" s="188">
        <v>0</v>
      </c>
      <c r="AC54" s="188">
        <v>37227</v>
      </c>
      <c r="AD54" s="188">
        <v>0</v>
      </c>
      <c r="AE54" s="190">
        <v>37227</v>
      </c>
      <c r="AY54" s="192"/>
      <c r="AZ54" s="192"/>
    </row>
    <row r="55" spans="1:52" s="191" customFormat="1" ht="15" customHeight="1">
      <c r="A55" s="187" t="s">
        <v>171</v>
      </c>
      <c r="B55" s="188">
        <v>377</v>
      </c>
      <c r="C55" s="188">
        <v>1</v>
      </c>
      <c r="D55" s="188">
        <v>0</v>
      </c>
      <c r="E55" s="188">
        <v>2758</v>
      </c>
      <c r="F55" s="188">
        <v>10</v>
      </c>
      <c r="G55" s="188">
        <v>2</v>
      </c>
      <c r="H55" s="188">
        <v>3135</v>
      </c>
      <c r="I55" s="188">
        <v>11</v>
      </c>
      <c r="J55" s="188">
        <v>2</v>
      </c>
      <c r="K55" s="188">
        <v>1012</v>
      </c>
      <c r="L55" s="188">
        <v>5602</v>
      </c>
      <c r="M55" s="188">
        <v>6614</v>
      </c>
      <c r="N55" s="188">
        <v>2</v>
      </c>
      <c r="O55" s="188">
        <v>1</v>
      </c>
      <c r="P55" s="188">
        <v>32</v>
      </c>
      <c r="Q55" s="188">
        <v>12</v>
      </c>
      <c r="R55" s="188">
        <v>34</v>
      </c>
      <c r="S55" s="188">
        <v>13</v>
      </c>
      <c r="T55" s="188">
        <v>0</v>
      </c>
      <c r="U55" s="188">
        <v>3</v>
      </c>
      <c r="V55" s="188">
        <v>3</v>
      </c>
      <c r="W55" s="189" t="s">
        <v>125</v>
      </c>
      <c r="X55" s="189" t="s">
        <v>125</v>
      </c>
      <c r="Y55" s="189" t="s">
        <v>125</v>
      </c>
      <c r="Z55" s="188">
        <v>3399</v>
      </c>
      <c r="AA55" s="188">
        <v>3399</v>
      </c>
      <c r="AB55" s="188">
        <v>0</v>
      </c>
      <c r="AC55" s="188">
        <v>892844</v>
      </c>
      <c r="AD55" s="188">
        <v>1757</v>
      </c>
      <c r="AE55" s="190">
        <v>894601</v>
      </c>
      <c r="AY55" s="192"/>
      <c r="AZ55" s="192"/>
    </row>
    <row r="56" spans="1:52" s="191" customFormat="1" ht="15" customHeight="1">
      <c r="A56" s="187" t="s">
        <v>172</v>
      </c>
      <c r="B56" s="188">
        <v>2446</v>
      </c>
      <c r="C56" s="188">
        <v>18</v>
      </c>
      <c r="D56" s="188">
        <v>0</v>
      </c>
      <c r="E56" s="188">
        <v>18463</v>
      </c>
      <c r="F56" s="188">
        <v>158</v>
      </c>
      <c r="G56" s="188">
        <v>64</v>
      </c>
      <c r="H56" s="188">
        <v>20909</v>
      </c>
      <c r="I56" s="188">
        <v>176</v>
      </c>
      <c r="J56" s="188">
        <v>64</v>
      </c>
      <c r="K56" s="188">
        <v>5816</v>
      </c>
      <c r="L56" s="188">
        <v>33510</v>
      </c>
      <c r="M56" s="188">
        <v>39326</v>
      </c>
      <c r="N56" s="188">
        <v>48</v>
      </c>
      <c r="O56" s="188">
        <v>21</v>
      </c>
      <c r="P56" s="188">
        <v>360</v>
      </c>
      <c r="Q56" s="188">
        <v>180</v>
      </c>
      <c r="R56" s="188">
        <v>408</v>
      </c>
      <c r="S56" s="188">
        <v>201</v>
      </c>
      <c r="T56" s="188">
        <v>0</v>
      </c>
      <c r="U56" s="188">
        <v>91</v>
      </c>
      <c r="V56" s="188">
        <v>91</v>
      </c>
      <c r="W56" s="189" t="s">
        <v>125</v>
      </c>
      <c r="X56" s="189" t="s">
        <v>125</v>
      </c>
      <c r="Y56" s="189" t="s">
        <v>125</v>
      </c>
      <c r="Z56" s="188">
        <v>22298</v>
      </c>
      <c r="AA56" s="188">
        <v>22298</v>
      </c>
      <c r="AB56" s="188">
        <v>0</v>
      </c>
      <c r="AC56" s="188">
        <v>5516733</v>
      </c>
      <c r="AD56" s="188">
        <v>34356</v>
      </c>
      <c r="AE56" s="190">
        <v>5551089</v>
      </c>
      <c r="AY56" s="192"/>
      <c r="AZ56" s="192"/>
    </row>
    <row r="57" spans="1:52" s="191" customFormat="1" ht="15" customHeight="1">
      <c r="A57" s="187" t="s">
        <v>173</v>
      </c>
      <c r="B57" s="188">
        <v>1347</v>
      </c>
      <c r="C57" s="188">
        <v>38</v>
      </c>
      <c r="D57" s="188">
        <v>0</v>
      </c>
      <c r="E57" s="188">
        <v>15724</v>
      </c>
      <c r="F57" s="188">
        <v>233</v>
      </c>
      <c r="G57" s="188">
        <v>48</v>
      </c>
      <c r="H57" s="188">
        <v>17071</v>
      </c>
      <c r="I57" s="188">
        <v>271</v>
      </c>
      <c r="J57" s="188">
        <v>48</v>
      </c>
      <c r="K57" s="188">
        <v>3259</v>
      </c>
      <c r="L57" s="188">
        <v>26778</v>
      </c>
      <c r="M57" s="188">
        <v>30037</v>
      </c>
      <c r="N57" s="188">
        <v>96</v>
      </c>
      <c r="O57" s="188">
        <v>44</v>
      </c>
      <c r="P57" s="188">
        <v>564</v>
      </c>
      <c r="Q57" s="188">
        <v>252</v>
      </c>
      <c r="R57" s="188">
        <v>660</v>
      </c>
      <c r="S57" s="188">
        <v>296</v>
      </c>
      <c r="T57" s="188">
        <v>0</v>
      </c>
      <c r="U57" s="188">
        <v>63</v>
      </c>
      <c r="V57" s="188">
        <v>63</v>
      </c>
      <c r="W57" s="189" t="s">
        <v>125</v>
      </c>
      <c r="X57" s="189" t="s">
        <v>125</v>
      </c>
      <c r="Y57" s="189" t="s">
        <v>125</v>
      </c>
      <c r="Z57" s="188">
        <v>19956</v>
      </c>
      <c r="AA57" s="188">
        <v>19956</v>
      </c>
      <c r="AB57" s="188">
        <v>0</v>
      </c>
      <c r="AC57" s="188">
        <v>4074573</v>
      </c>
      <c r="AD57" s="188">
        <v>31985</v>
      </c>
      <c r="AE57" s="190">
        <v>4106558</v>
      </c>
      <c r="AY57" s="192"/>
      <c r="AZ57" s="192"/>
    </row>
    <row r="58" spans="1:52" s="191" customFormat="1" ht="15" customHeight="1">
      <c r="A58" s="187" t="s">
        <v>174</v>
      </c>
      <c r="B58" s="188">
        <v>5332</v>
      </c>
      <c r="C58" s="188">
        <v>41</v>
      </c>
      <c r="D58" s="188">
        <v>0</v>
      </c>
      <c r="E58" s="188">
        <v>34479</v>
      </c>
      <c r="F58" s="188">
        <v>171</v>
      </c>
      <c r="G58" s="188">
        <v>26</v>
      </c>
      <c r="H58" s="188">
        <v>39811</v>
      </c>
      <c r="I58" s="188">
        <v>212</v>
      </c>
      <c r="J58" s="188">
        <v>26</v>
      </c>
      <c r="K58" s="188">
        <v>13805</v>
      </c>
      <c r="L58" s="188">
        <v>69781</v>
      </c>
      <c r="M58" s="188">
        <v>83586</v>
      </c>
      <c r="N58" s="188">
        <v>113</v>
      </c>
      <c r="O58" s="188">
        <v>47</v>
      </c>
      <c r="P58" s="188">
        <v>490</v>
      </c>
      <c r="Q58" s="188">
        <v>193</v>
      </c>
      <c r="R58" s="188">
        <v>603</v>
      </c>
      <c r="S58" s="188">
        <v>240</v>
      </c>
      <c r="T58" s="188">
        <v>0</v>
      </c>
      <c r="U58" s="188">
        <v>33</v>
      </c>
      <c r="V58" s="188">
        <v>33</v>
      </c>
      <c r="W58" s="189" t="s">
        <v>125</v>
      </c>
      <c r="X58" s="189" t="s">
        <v>125</v>
      </c>
      <c r="Y58" s="189" t="s">
        <v>125</v>
      </c>
      <c r="Z58" s="188">
        <v>41898</v>
      </c>
      <c r="AA58" s="188">
        <v>41898</v>
      </c>
      <c r="AB58" s="188">
        <v>0</v>
      </c>
      <c r="AC58" s="188">
        <v>11254552</v>
      </c>
      <c r="AD58" s="188">
        <v>28043</v>
      </c>
      <c r="AE58" s="190">
        <v>11282595</v>
      </c>
      <c r="AY58" s="192"/>
      <c r="AZ58" s="192"/>
    </row>
    <row r="59" spans="1:52" s="191" customFormat="1" ht="15" customHeight="1">
      <c r="A59" s="187" t="s">
        <v>215</v>
      </c>
      <c r="B59" s="188">
        <v>696</v>
      </c>
      <c r="C59" s="188">
        <v>12</v>
      </c>
      <c r="D59" s="188">
        <v>0</v>
      </c>
      <c r="E59" s="188">
        <v>4830</v>
      </c>
      <c r="F59" s="188">
        <v>48</v>
      </c>
      <c r="G59" s="188">
        <v>13</v>
      </c>
      <c r="H59" s="188">
        <v>5526</v>
      </c>
      <c r="I59" s="188">
        <v>60</v>
      </c>
      <c r="J59" s="188">
        <v>13</v>
      </c>
      <c r="K59" s="188">
        <v>1898</v>
      </c>
      <c r="L59" s="188">
        <v>10731</v>
      </c>
      <c r="M59" s="188">
        <v>12629</v>
      </c>
      <c r="N59" s="188">
        <v>25</v>
      </c>
      <c r="O59" s="188">
        <v>14</v>
      </c>
      <c r="P59" s="188">
        <v>134</v>
      </c>
      <c r="Q59" s="188">
        <v>57</v>
      </c>
      <c r="R59" s="188">
        <v>159</v>
      </c>
      <c r="S59" s="188">
        <v>71</v>
      </c>
      <c r="T59" s="188">
        <v>0</v>
      </c>
      <c r="U59" s="188">
        <v>18</v>
      </c>
      <c r="V59" s="188">
        <v>18</v>
      </c>
      <c r="W59" s="189" t="s">
        <v>125</v>
      </c>
      <c r="X59" s="189" t="s">
        <v>125</v>
      </c>
      <c r="Y59" s="189" t="s">
        <v>125</v>
      </c>
      <c r="Z59" s="188">
        <v>5885</v>
      </c>
      <c r="AA59" s="188">
        <v>5885</v>
      </c>
      <c r="AB59" s="188">
        <v>0</v>
      </c>
      <c r="AC59" s="188">
        <v>1699261</v>
      </c>
      <c r="AD59" s="188">
        <v>9161</v>
      </c>
      <c r="AE59" s="190">
        <v>1708422</v>
      </c>
      <c r="AY59" s="192"/>
      <c r="AZ59" s="192"/>
    </row>
    <row r="60" spans="1:52" s="191" customFormat="1" ht="15" customHeight="1">
      <c r="A60" s="187" t="s">
        <v>176</v>
      </c>
      <c r="B60" s="188">
        <v>479</v>
      </c>
      <c r="C60" s="188">
        <v>0</v>
      </c>
      <c r="D60" s="188">
        <v>0</v>
      </c>
      <c r="E60" s="188">
        <v>3797</v>
      </c>
      <c r="F60" s="188">
        <v>21</v>
      </c>
      <c r="G60" s="188">
        <v>3</v>
      </c>
      <c r="H60" s="188">
        <v>4276</v>
      </c>
      <c r="I60" s="188">
        <v>21</v>
      </c>
      <c r="J60" s="188">
        <v>3</v>
      </c>
      <c r="K60" s="188">
        <v>1257</v>
      </c>
      <c r="L60" s="188">
        <v>7968</v>
      </c>
      <c r="M60" s="188">
        <v>9225</v>
      </c>
      <c r="N60" s="188">
        <v>0</v>
      </c>
      <c r="O60" s="188">
        <v>0</v>
      </c>
      <c r="P60" s="188">
        <v>63</v>
      </c>
      <c r="Q60" s="188">
        <v>24</v>
      </c>
      <c r="R60" s="188">
        <v>63</v>
      </c>
      <c r="S60" s="188">
        <v>24</v>
      </c>
      <c r="T60" s="188">
        <v>0</v>
      </c>
      <c r="U60" s="188">
        <v>4</v>
      </c>
      <c r="V60" s="188">
        <v>4</v>
      </c>
      <c r="W60" s="189" t="s">
        <v>125</v>
      </c>
      <c r="X60" s="189" t="s">
        <v>125</v>
      </c>
      <c r="Y60" s="189" t="s">
        <v>125</v>
      </c>
      <c r="Z60" s="188">
        <v>4601</v>
      </c>
      <c r="AA60" s="188">
        <v>4601</v>
      </c>
      <c r="AB60" s="188">
        <v>0</v>
      </c>
      <c r="AC60" s="188">
        <v>1201906</v>
      </c>
      <c r="AD60" s="188">
        <v>4346</v>
      </c>
      <c r="AE60" s="190">
        <v>1206252</v>
      </c>
      <c r="AY60" s="192"/>
      <c r="AZ60" s="192"/>
    </row>
    <row r="61" spans="1:52" s="191" customFormat="1" ht="15" customHeight="1">
      <c r="A61" s="187" t="s">
        <v>177</v>
      </c>
      <c r="B61" s="188">
        <v>54</v>
      </c>
      <c r="C61" s="188">
        <v>0</v>
      </c>
      <c r="D61" s="188">
        <v>0</v>
      </c>
      <c r="E61" s="188">
        <v>916</v>
      </c>
      <c r="F61" s="188">
        <v>1</v>
      </c>
      <c r="G61" s="188">
        <v>0</v>
      </c>
      <c r="H61" s="188">
        <v>970</v>
      </c>
      <c r="I61" s="188">
        <v>1</v>
      </c>
      <c r="J61" s="188">
        <v>0</v>
      </c>
      <c r="K61" s="188">
        <v>128</v>
      </c>
      <c r="L61" s="188">
        <v>1570</v>
      </c>
      <c r="M61" s="188">
        <v>1698</v>
      </c>
      <c r="N61" s="188">
        <v>0</v>
      </c>
      <c r="O61" s="188">
        <v>0</v>
      </c>
      <c r="P61" s="188">
        <v>2</v>
      </c>
      <c r="Q61" s="188">
        <v>1</v>
      </c>
      <c r="R61" s="188">
        <v>2</v>
      </c>
      <c r="S61" s="188">
        <v>1</v>
      </c>
      <c r="T61" s="188">
        <v>0</v>
      </c>
      <c r="U61" s="188">
        <v>0</v>
      </c>
      <c r="V61" s="188">
        <v>0</v>
      </c>
      <c r="W61" s="189" t="s">
        <v>125</v>
      </c>
      <c r="X61" s="189" t="s">
        <v>125</v>
      </c>
      <c r="Y61" s="189" t="s">
        <v>125</v>
      </c>
      <c r="Z61" s="188">
        <v>1051</v>
      </c>
      <c r="AA61" s="188">
        <v>1051</v>
      </c>
      <c r="AB61" s="188">
        <v>0</v>
      </c>
      <c r="AC61" s="188">
        <v>241791</v>
      </c>
      <c r="AD61" s="188">
        <v>53</v>
      </c>
      <c r="AE61" s="190">
        <v>241844</v>
      </c>
      <c r="AY61" s="192"/>
      <c r="AZ61" s="192"/>
    </row>
    <row r="62" spans="1:52" s="191" customFormat="1" ht="15" customHeight="1">
      <c r="A62" s="187" t="s">
        <v>178</v>
      </c>
      <c r="B62" s="188">
        <v>7493</v>
      </c>
      <c r="C62" s="188">
        <v>69</v>
      </c>
      <c r="D62" s="188">
        <v>0</v>
      </c>
      <c r="E62" s="188">
        <v>43235</v>
      </c>
      <c r="F62" s="188">
        <v>791</v>
      </c>
      <c r="G62" s="188">
        <v>198</v>
      </c>
      <c r="H62" s="188">
        <v>50728</v>
      </c>
      <c r="I62" s="188">
        <v>860</v>
      </c>
      <c r="J62" s="188">
        <v>198</v>
      </c>
      <c r="K62" s="188">
        <v>20528</v>
      </c>
      <c r="L62" s="188">
        <v>97099</v>
      </c>
      <c r="M62" s="188">
        <v>117627</v>
      </c>
      <c r="N62" s="188">
        <v>162</v>
      </c>
      <c r="O62" s="188">
        <v>78</v>
      </c>
      <c r="P62" s="188">
        <v>2178</v>
      </c>
      <c r="Q62" s="188">
        <v>876</v>
      </c>
      <c r="R62" s="188">
        <v>2340</v>
      </c>
      <c r="S62" s="188">
        <v>954</v>
      </c>
      <c r="T62" s="188">
        <v>0</v>
      </c>
      <c r="U62" s="188">
        <v>246</v>
      </c>
      <c r="V62" s="188">
        <v>246</v>
      </c>
      <c r="W62" s="189" t="s">
        <v>125</v>
      </c>
      <c r="X62" s="189" t="s">
        <v>125</v>
      </c>
      <c r="Y62" s="189" t="s">
        <v>125</v>
      </c>
      <c r="Z62" s="188">
        <v>60446</v>
      </c>
      <c r="AA62" s="188">
        <v>60446</v>
      </c>
      <c r="AB62" s="188">
        <v>0</v>
      </c>
      <c r="AC62" s="188">
        <v>16267076</v>
      </c>
      <c r="AD62" s="188">
        <v>135829</v>
      </c>
      <c r="AE62" s="190">
        <v>16402905</v>
      </c>
      <c r="AY62" s="192"/>
      <c r="AZ62" s="192"/>
    </row>
    <row r="63" spans="1:52" s="191" customFormat="1" ht="15" customHeight="1">
      <c r="A63" s="187" t="s">
        <v>179</v>
      </c>
      <c r="B63" s="188">
        <v>278</v>
      </c>
      <c r="C63" s="188">
        <v>1</v>
      </c>
      <c r="D63" s="188">
        <v>0</v>
      </c>
      <c r="E63" s="188">
        <v>2684</v>
      </c>
      <c r="F63" s="188">
        <v>4</v>
      </c>
      <c r="G63" s="188">
        <v>2</v>
      </c>
      <c r="H63" s="188">
        <v>2962</v>
      </c>
      <c r="I63" s="188">
        <v>5</v>
      </c>
      <c r="J63" s="188">
        <v>2</v>
      </c>
      <c r="K63" s="188">
        <v>692</v>
      </c>
      <c r="L63" s="188">
        <v>4506</v>
      </c>
      <c r="M63" s="188">
        <v>5198</v>
      </c>
      <c r="N63" s="188">
        <v>5</v>
      </c>
      <c r="O63" s="188">
        <v>1</v>
      </c>
      <c r="P63" s="188">
        <v>6</v>
      </c>
      <c r="Q63" s="188">
        <v>4</v>
      </c>
      <c r="R63" s="188">
        <v>11</v>
      </c>
      <c r="S63" s="188">
        <v>5</v>
      </c>
      <c r="T63" s="188">
        <v>0</v>
      </c>
      <c r="U63" s="188">
        <v>4</v>
      </c>
      <c r="V63" s="188">
        <v>4</v>
      </c>
      <c r="W63" s="189" t="s">
        <v>125</v>
      </c>
      <c r="X63" s="189" t="s">
        <v>125</v>
      </c>
      <c r="Y63" s="189" t="s">
        <v>125</v>
      </c>
      <c r="Z63" s="188">
        <v>3140</v>
      </c>
      <c r="AA63" s="188">
        <v>3140</v>
      </c>
      <c r="AB63" s="188">
        <v>0</v>
      </c>
      <c r="AC63" s="188">
        <v>685925</v>
      </c>
      <c r="AD63" s="188">
        <v>735</v>
      </c>
      <c r="AE63" s="190">
        <v>686660</v>
      </c>
      <c r="AY63" s="192"/>
      <c r="AZ63" s="192"/>
    </row>
    <row r="64" spans="1:52" s="191" customFormat="1" ht="15" customHeight="1">
      <c r="A64" s="187" t="s">
        <v>180</v>
      </c>
      <c r="B64" s="188">
        <v>2820</v>
      </c>
      <c r="C64" s="188">
        <v>19</v>
      </c>
      <c r="D64" s="188">
        <v>0</v>
      </c>
      <c r="E64" s="188">
        <v>32755</v>
      </c>
      <c r="F64" s="188">
        <v>324</v>
      </c>
      <c r="G64" s="188">
        <v>203</v>
      </c>
      <c r="H64" s="188">
        <v>35575</v>
      </c>
      <c r="I64" s="188">
        <v>343</v>
      </c>
      <c r="J64" s="188">
        <v>203</v>
      </c>
      <c r="K64" s="188">
        <v>7225</v>
      </c>
      <c r="L64" s="188">
        <v>64092</v>
      </c>
      <c r="M64" s="188">
        <v>71317</v>
      </c>
      <c r="N64" s="188">
        <v>41</v>
      </c>
      <c r="O64" s="188">
        <v>26</v>
      </c>
      <c r="P64" s="188">
        <v>763</v>
      </c>
      <c r="Q64" s="188">
        <v>369</v>
      </c>
      <c r="R64" s="188">
        <v>804</v>
      </c>
      <c r="S64" s="188">
        <v>395</v>
      </c>
      <c r="T64" s="188">
        <v>0</v>
      </c>
      <c r="U64" s="188">
        <v>261</v>
      </c>
      <c r="V64" s="188">
        <v>261</v>
      </c>
      <c r="W64" s="189" t="s">
        <v>125</v>
      </c>
      <c r="X64" s="189" t="s">
        <v>125</v>
      </c>
      <c r="Y64" s="189" t="s">
        <v>125</v>
      </c>
      <c r="Z64" s="188">
        <v>41448</v>
      </c>
      <c r="AA64" s="188">
        <v>41448</v>
      </c>
      <c r="AB64" s="188">
        <v>0</v>
      </c>
      <c r="AC64" s="188">
        <v>9628915</v>
      </c>
      <c r="AD64" s="188">
        <v>119997</v>
      </c>
      <c r="AE64" s="190">
        <v>9748912</v>
      </c>
      <c r="AY64" s="192"/>
      <c r="AZ64" s="192"/>
    </row>
    <row r="65" spans="1:52" s="191" customFormat="1" ht="15" customHeight="1">
      <c r="A65" s="187" t="s">
        <v>181</v>
      </c>
      <c r="B65" s="188">
        <v>812</v>
      </c>
      <c r="C65" s="188">
        <v>41</v>
      </c>
      <c r="D65" s="188">
        <v>2</v>
      </c>
      <c r="E65" s="188">
        <v>8961</v>
      </c>
      <c r="F65" s="188">
        <v>135</v>
      </c>
      <c r="G65" s="188">
        <v>57</v>
      </c>
      <c r="H65" s="188">
        <v>9773</v>
      </c>
      <c r="I65" s="188">
        <v>176</v>
      </c>
      <c r="J65" s="188">
        <v>59</v>
      </c>
      <c r="K65" s="188">
        <v>2119</v>
      </c>
      <c r="L65" s="188">
        <v>16573</v>
      </c>
      <c r="M65" s="188">
        <v>18692</v>
      </c>
      <c r="N65" s="188">
        <v>109</v>
      </c>
      <c r="O65" s="188">
        <v>65</v>
      </c>
      <c r="P65" s="188">
        <v>346</v>
      </c>
      <c r="Q65" s="188">
        <v>196</v>
      </c>
      <c r="R65" s="188">
        <v>455</v>
      </c>
      <c r="S65" s="188">
        <v>261</v>
      </c>
      <c r="T65" s="188">
        <v>7</v>
      </c>
      <c r="U65" s="188">
        <v>81</v>
      </c>
      <c r="V65" s="188">
        <v>88</v>
      </c>
      <c r="W65" s="189" t="s">
        <v>125</v>
      </c>
      <c r="X65" s="189" t="s">
        <v>125</v>
      </c>
      <c r="Y65" s="189" t="s">
        <v>125</v>
      </c>
      <c r="Z65" s="188">
        <v>11693</v>
      </c>
      <c r="AA65" s="188">
        <v>11693</v>
      </c>
      <c r="AB65" s="188">
        <v>0</v>
      </c>
      <c r="AC65" s="188">
        <v>2582717</v>
      </c>
      <c r="AD65" s="188">
        <v>41692</v>
      </c>
      <c r="AE65" s="190">
        <v>2624409</v>
      </c>
      <c r="AY65" s="192"/>
      <c r="AZ65" s="192"/>
    </row>
    <row r="66" spans="1:52" s="191" customFormat="1" ht="15" customHeight="1" thickBot="1">
      <c r="A66" s="193" t="s">
        <v>182</v>
      </c>
      <c r="B66" s="194">
        <v>788</v>
      </c>
      <c r="C66" s="194">
        <v>6</v>
      </c>
      <c r="D66" s="194">
        <v>0</v>
      </c>
      <c r="E66" s="194">
        <v>5074</v>
      </c>
      <c r="F66" s="194">
        <v>25</v>
      </c>
      <c r="G66" s="194">
        <v>4</v>
      </c>
      <c r="H66" s="194">
        <v>5862</v>
      </c>
      <c r="I66" s="194">
        <v>31</v>
      </c>
      <c r="J66" s="194">
        <v>4</v>
      </c>
      <c r="K66" s="194">
        <v>2112</v>
      </c>
      <c r="L66" s="194">
        <v>10480</v>
      </c>
      <c r="M66" s="194">
        <v>12592</v>
      </c>
      <c r="N66" s="194">
        <v>15</v>
      </c>
      <c r="O66" s="194">
        <v>7</v>
      </c>
      <c r="P66" s="194">
        <v>78</v>
      </c>
      <c r="Q66" s="194">
        <v>36</v>
      </c>
      <c r="R66" s="194">
        <v>93</v>
      </c>
      <c r="S66" s="194">
        <v>43</v>
      </c>
      <c r="T66" s="194">
        <v>0</v>
      </c>
      <c r="U66" s="194">
        <v>4</v>
      </c>
      <c r="V66" s="194">
        <v>4</v>
      </c>
      <c r="W66" s="195" t="s">
        <v>125</v>
      </c>
      <c r="X66" s="195" t="s">
        <v>125</v>
      </c>
      <c r="Y66" s="195" t="s">
        <v>125</v>
      </c>
      <c r="Z66" s="194">
        <v>6268</v>
      </c>
      <c r="AA66" s="194">
        <v>6268</v>
      </c>
      <c r="AB66" s="194">
        <v>0</v>
      </c>
      <c r="AC66" s="194">
        <v>1717771</v>
      </c>
      <c r="AD66" s="194">
        <v>5022</v>
      </c>
      <c r="AE66" s="196">
        <v>1722793</v>
      </c>
      <c r="AG66" s="197" t="s">
        <v>63</v>
      </c>
      <c r="AY66" s="192"/>
      <c r="AZ66" s="192"/>
    </row>
    <row r="67" spans="1:52" s="191" customFormat="1" ht="15.75" customHeight="1" thickTop="1">
      <c r="A67" s="198" t="s">
        <v>183</v>
      </c>
      <c r="B67" s="199">
        <f>SUBTOTAL(109,Feb17Data[Cell 1])</f>
        <v>251560</v>
      </c>
      <c r="C67" s="199">
        <f>SUBTOTAL(109,Feb17Data[Cell 2])</f>
        <v>4969</v>
      </c>
      <c r="D67" s="199">
        <f>SUBTOTAL(109,Feb17Data[Cell 3])</f>
        <v>334</v>
      </c>
      <c r="E67" s="199">
        <f>SUBTOTAL(109,Feb17Data[Cell 4])</f>
        <v>1714131</v>
      </c>
      <c r="F67" s="199">
        <f>SUBTOTAL(109,Feb17Data[Cell 5])</f>
        <v>20848</v>
      </c>
      <c r="G67" s="199">
        <f>SUBTOTAL(109,Feb17Data[Cell 6])</f>
        <v>10499</v>
      </c>
      <c r="H67" s="199">
        <f>SUBTOTAL(109,Feb17Data[Cell 15])</f>
        <v>1965691</v>
      </c>
      <c r="I67" s="199">
        <f>SUBTOTAL(109,Feb17Data[Cell 16])</f>
        <v>25817</v>
      </c>
      <c r="J67" s="199">
        <f>SUBTOTAL(109,Feb17Data[Cell 17])</f>
        <v>10833</v>
      </c>
      <c r="K67" s="199">
        <f>SUBTOTAL(109,Feb17Data[Cell 7])</f>
        <v>642108</v>
      </c>
      <c r="L67" s="199">
        <f>SUBTOTAL(109,Feb17Data[Cell 8])</f>
        <v>3423264</v>
      </c>
      <c r="M67" s="199">
        <f>SUBTOTAL(109,Feb17Data[Cell 18])</f>
        <v>4065372</v>
      </c>
      <c r="N67" s="199">
        <f>SUBTOTAL(109,Feb17Data[Cell 9])</f>
        <v>11047</v>
      </c>
      <c r="O67" s="199">
        <f>SUBTOTAL(109,Feb17Data[Cell 10])</f>
        <v>6741</v>
      </c>
      <c r="P67" s="199">
        <f>SUBTOTAL(109,Feb17Data[Cell 11])</f>
        <v>49909</v>
      </c>
      <c r="Q67" s="199">
        <f>SUBTOTAL(109,Feb17Data[Cell 12])</f>
        <v>25572</v>
      </c>
      <c r="R67" s="199">
        <f>SUBTOTAL(109,Feb17Data[Cell 19])</f>
        <v>60956</v>
      </c>
      <c r="S67" s="199">
        <f>SUBTOTAL(109,Feb17Data[Cell 20])</f>
        <v>32313</v>
      </c>
      <c r="T67" s="199">
        <f>SUBTOTAL(109,Feb17Data[Cell 13])</f>
        <v>457</v>
      </c>
      <c r="U67" s="199">
        <f>SUBTOTAL(109,Feb17Data[Cell 14])</f>
        <v>13519</v>
      </c>
      <c r="V67" s="199">
        <f>SUBTOTAL(109,Feb17Data[Cell 21])</f>
        <v>13976</v>
      </c>
      <c r="W67" s="200"/>
      <c r="X67" s="200"/>
      <c r="Y67" s="200"/>
      <c r="Z67" s="199">
        <f>SUBTOTAL(109,Feb17Data[Cell 25])</f>
        <v>2159819</v>
      </c>
      <c r="AA67" s="199">
        <f>SUBTOTAL(109,Feb17Data[Cell 26])</f>
        <v>2159819</v>
      </c>
      <c r="AB67" s="199">
        <f>SUBTOTAL(109,Feb17Data[Cell 27])</f>
        <v>0</v>
      </c>
      <c r="AC67" s="199">
        <f>SUBTOTAL(109,Feb17Data[Cell 28])</f>
        <v>567620029</v>
      </c>
      <c r="AD67" s="199">
        <f>SUBTOTAL(109,Feb17Data[Cell 29])</f>
        <v>5381873</v>
      </c>
      <c r="AE67" s="199">
        <f>SUBTOTAL(109,Feb17Data[Cell 30])</f>
        <v>573001902</v>
      </c>
      <c r="AG67" s="201">
        <v>1162673358</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2"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199</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251265</v>
      </c>
      <c r="F12" s="54">
        <v>2</v>
      </c>
      <c r="G12" s="55">
        <v>4955</v>
      </c>
      <c r="H12" s="54">
        <v>3</v>
      </c>
      <c r="I12" s="55">
        <v>325</v>
      </c>
      <c r="J12" s="54">
        <v>4</v>
      </c>
      <c r="K12" s="55">
        <v>1724941</v>
      </c>
      <c r="L12" s="54">
        <v>5</v>
      </c>
      <c r="M12" s="55">
        <v>20670</v>
      </c>
      <c r="N12" s="54">
        <v>6</v>
      </c>
      <c r="O12" s="55">
        <v>10602</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641365</v>
      </c>
      <c r="F14" s="68"/>
      <c r="G14" s="69"/>
      <c r="H14" s="68"/>
      <c r="I14" s="69"/>
      <c r="J14" s="66"/>
      <c r="K14" s="67">
        <v>3423151</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11052</v>
      </c>
      <c r="F16" s="68"/>
      <c r="G16" s="69"/>
      <c r="H16" s="66"/>
      <c r="I16" s="67">
        <v>6766</v>
      </c>
      <c r="J16" s="66"/>
      <c r="K16" s="67">
        <v>49688</v>
      </c>
      <c r="L16" s="68"/>
      <c r="M16" s="69"/>
      <c r="N16" s="66"/>
      <c r="O16" s="67">
        <v>25395</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438</v>
      </c>
      <c r="J18" s="68"/>
      <c r="K18" s="69"/>
      <c r="L18" s="68"/>
      <c r="M18" s="69"/>
      <c r="N18" s="66"/>
      <c r="O18" s="67">
        <v>13678</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1976206</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25625</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10927</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4064516</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60740</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32161</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14116</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2181793</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2181793</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570077179</v>
      </c>
    </row>
    <row r="37" spans="1:26" ht="17.25" customHeight="1">
      <c r="A37" s="97" t="s">
        <v>59</v>
      </c>
      <c r="B37" s="98" t="s">
        <v>60</v>
      </c>
      <c r="C37" s="98"/>
      <c r="D37" s="99"/>
      <c r="E37" s="98"/>
      <c r="F37" s="98"/>
      <c r="G37" s="98"/>
      <c r="H37" s="98"/>
      <c r="I37" s="98"/>
      <c r="J37" s="103"/>
      <c r="K37" s="103"/>
      <c r="L37" s="103"/>
      <c r="M37" s="103"/>
      <c r="N37" s="124">
        <v>29</v>
      </c>
      <c r="O37" s="125">
        <v>5430223</v>
      </c>
    </row>
    <row r="38" spans="1:26" ht="17.25" customHeight="1">
      <c r="A38" s="97" t="s">
        <v>61</v>
      </c>
      <c r="B38" s="98" t="s">
        <v>62</v>
      </c>
      <c r="C38" s="98"/>
      <c r="D38" s="99"/>
      <c r="E38" s="98"/>
      <c r="F38" s="98"/>
      <c r="G38" s="98"/>
      <c r="H38" s="98"/>
      <c r="I38" s="98"/>
      <c r="J38" s="103"/>
      <c r="K38" s="103"/>
      <c r="L38" s="103"/>
      <c r="M38" s="103"/>
      <c r="N38" s="126">
        <v>30</v>
      </c>
      <c r="O38" s="127">
        <v>575507402</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212</v>
      </c>
      <c r="B41" s="221"/>
      <c r="C41" s="221"/>
      <c r="D41" s="221"/>
      <c r="E41" s="221"/>
      <c r="F41" s="221"/>
      <c r="G41" s="221"/>
      <c r="H41" s="221"/>
      <c r="I41" s="221"/>
      <c r="J41" s="221"/>
      <c r="K41" s="221"/>
      <c r="L41" s="221"/>
      <c r="M41" s="221"/>
      <c r="N41" s="221"/>
      <c r="O41" s="222"/>
      <c r="Q41" s="27"/>
    </row>
    <row r="42" spans="1:26">
      <c r="L42" s="133" t="s">
        <v>63</v>
      </c>
      <c r="M42" s="134"/>
      <c r="N42" s="135"/>
      <c r="O42" s="136">
        <v>1167746972</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200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199</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5436</v>
      </c>
      <c r="C9" s="188">
        <v>215</v>
      </c>
      <c r="D9" s="188">
        <v>8</v>
      </c>
      <c r="E9" s="188">
        <v>50044</v>
      </c>
      <c r="F9" s="188">
        <v>1382</v>
      </c>
      <c r="G9" s="188">
        <v>679</v>
      </c>
      <c r="H9" s="188">
        <v>55480</v>
      </c>
      <c r="I9" s="188">
        <v>1597</v>
      </c>
      <c r="J9" s="188">
        <v>687</v>
      </c>
      <c r="K9" s="188">
        <v>12430</v>
      </c>
      <c r="L9" s="188">
        <v>90691</v>
      </c>
      <c r="M9" s="188">
        <v>103121</v>
      </c>
      <c r="N9" s="188">
        <v>494</v>
      </c>
      <c r="O9" s="188">
        <v>286</v>
      </c>
      <c r="P9" s="188">
        <v>3140</v>
      </c>
      <c r="Q9" s="188">
        <v>1819</v>
      </c>
      <c r="R9" s="188">
        <v>3634</v>
      </c>
      <c r="S9" s="188">
        <v>2105</v>
      </c>
      <c r="T9" s="188">
        <v>11</v>
      </c>
      <c r="U9" s="188">
        <v>898</v>
      </c>
      <c r="V9" s="188">
        <v>909</v>
      </c>
      <c r="W9" s="189" t="s">
        <v>125</v>
      </c>
      <c r="X9" s="189" t="s">
        <v>125</v>
      </c>
      <c r="Y9" s="189" t="s">
        <v>125</v>
      </c>
      <c r="Z9" s="188">
        <v>57764</v>
      </c>
      <c r="AA9" s="188">
        <v>57764</v>
      </c>
      <c r="AB9" s="188">
        <v>0</v>
      </c>
      <c r="AC9" s="188">
        <v>15142474</v>
      </c>
      <c r="AD9" s="188">
        <v>341164</v>
      </c>
      <c r="AE9" s="190">
        <v>15483638</v>
      </c>
    </row>
    <row r="10" spans="1:52" ht="15" customHeight="1">
      <c r="A10" s="187" t="s">
        <v>126</v>
      </c>
      <c r="B10" s="188">
        <v>1</v>
      </c>
      <c r="C10" s="188">
        <v>0</v>
      </c>
      <c r="D10" s="188">
        <v>0</v>
      </c>
      <c r="E10" s="188">
        <v>86</v>
      </c>
      <c r="F10" s="188">
        <v>0</v>
      </c>
      <c r="G10" s="188">
        <v>0</v>
      </c>
      <c r="H10" s="188">
        <v>87</v>
      </c>
      <c r="I10" s="188">
        <v>0</v>
      </c>
      <c r="J10" s="188">
        <v>0</v>
      </c>
      <c r="K10" s="188">
        <v>1</v>
      </c>
      <c r="L10" s="188">
        <v>145</v>
      </c>
      <c r="M10" s="188">
        <v>146</v>
      </c>
      <c r="N10" s="188">
        <v>0</v>
      </c>
      <c r="O10" s="188">
        <v>0</v>
      </c>
      <c r="P10" s="188">
        <v>0</v>
      </c>
      <c r="Q10" s="188">
        <v>0</v>
      </c>
      <c r="R10" s="188">
        <v>0</v>
      </c>
      <c r="S10" s="188">
        <v>0</v>
      </c>
      <c r="T10" s="188">
        <v>0</v>
      </c>
      <c r="U10" s="188">
        <v>0</v>
      </c>
      <c r="V10" s="188">
        <v>0</v>
      </c>
      <c r="W10" s="189" t="s">
        <v>125</v>
      </c>
      <c r="X10" s="189" t="s">
        <v>125</v>
      </c>
      <c r="Y10" s="189" t="s">
        <v>125</v>
      </c>
      <c r="Z10" s="188">
        <v>91</v>
      </c>
      <c r="AA10" s="188">
        <v>91</v>
      </c>
      <c r="AB10" s="188">
        <v>0</v>
      </c>
      <c r="AC10" s="188">
        <v>18319</v>
      </c>
      <c r="AD10" s="188">
        <v>0</v>
      </c>
      <c r="AE10" s="190">
        <v>18319</v>
      </c>
    </row>
    <row r="11" spans="1:52" ht="15" customHeight="1">
      <c r="A11" s="187" t="s">
        <v>127</v>
      </c>
      <c r="B11" s="188">
        <v>132</v>
      </c>
      <c r="C11" s="188">
        <v>0</v>
      </c>
      <c r="D11" s="188">
        <v>0</v>
      </c>
      <c r="E11" s="188">
        <v>1567</v>
      </c>
      <c r="F11" s="188">
        <v>5</v>
      </c>
      <c r="G11" s="188">
        <v>1</v>
      </c>
      <c r="H11" s="188">
        <v>1699</v>
      </c>
      <c r="I11" s="188">
        <v>5</v>
      </c>
      <c r="J11" s="188">
        <v>1</v>
      </c>
      <c r="K11" s="188">
        <v>331</v>
      </c>
      <c r="L11" s="188">
        <v>2777</v>
      </c>
      <c r="M11" s="188">
        <v>3108</v>
      </c>
      <c r="N11" s="188">
        <v>0</v>
      </c>
      <c r="O11" s="188">
        <v>0</v>
      </c>
      <c r="P11" s="188">
        <v>15</v>
      </c>
      <c r="Q11" s="188">
        <v>5</v>
      </c>
      <c r="R11" s="188">
        <v>15</v>
      </c>
      <c r="S11" s="188">
        <v>5</v>
      </c>
      <c r="T11" s="188">
        <v>0</v>
      </c>
      <c r="U11" s="188">
        <v>1</v>
      </c>
      <c r="V11" s="188">
        <v>1</v>
      </c>
      <c r="W11" s="189" t="s">
        <v>125</v>
      </c>
      <c r="X11" s="189" t="s">
        <v>125</v>
      </c>
      <c r="Y11" s="189" t="s">
        <v>125</v>
      </c>
      <c r="Z11" s="188">
        <v>1820</v>
      </c>
      <c r="AA11" s="188">
        <v>1820</v>
      </c>
      <c r="AB11" s="188">
        <v>0</v>
      </c>
      <c r="AC11" s="188">
        <v>412670</v>
      </c>
      <c r="AD11" s="188">
        <v>320</v>
      </c>
      <c r="AE11" s="190">
        <v>412990</v>
      </c>
    </row>
    <row r="12" spans="1:52" ht="15" customHeight="1">
      <c r="A12" s="187" t="s">
        <v>128</v>
      </c>
      <c r="B12" s="188">
        <v>1587</v>
      </c>
      <c r="C12" s="188">
        <v>8</v>
      </c>
      <c r="D12" s="188">
        <v>0</v>
      </c>
      <c r="E12" s="188">
        <v>15002</v>
      </c>
      <c r="F12" s="188">
        <v>43</v>
      </c>
      <c r="G12" s="188">
        <v>24</v>
      </c>
      <c r="H12" s="188">
        <v>16589</v>
      </c>
      <c r="I12" s="188">
        <v>51</v>
      </c>
      <c r="J12" s="188">
        <v>24</v>
      </c>
      <c r="K12" s="188">
        <v>3899</v>
      </c>
      <c r="L12" s="188">
        <v>26988</v>
      </c>
      <c r="M12" s="188">
        <v>30887</v>
      </c>
      <c r="N12" s="188">
        <v>14</v>
      </c>
      <c r="O12" s="188">
        <v>8</v>
      </c>
      <c r="P12" s="188">
        <v>115</v>
      </c>
      <c r="Q12" s="188">
        <v>46</v>
      </c>
      <c r="R12" s="188">
        <v>129</v>
      </c>
      <c r="S12" s="188">
        <v>54</v>
      </c>
      <c r="T12" s="188">
        <v>0</v>
      </c>
      <c r="U12" s="188">
        <v>28</v>
      </c>
      <c r="V12" s="188">
        <v>28</v>
      </c>
      <c r="W12" s="189" t="s">
        <v>125</v>
      </c>
      <c r="X12" s="189" t="s">
        <v>125</v>
      </c>
      <c r="Y12" s="189" t="s">
        <v>125</v>
      </c>
      <c r="Z12" s="188">
        <v>17969</v>
      </c>
      <c r="AA12" s="188">
        <v>17969</v>
      </c>
      <c r="AB12" s="188">
        <v>0</v>
      </c>
      <c r="AC12" s="188">
        <v>4276462</v>
      </c>
      <c r="AD12" s="188">
        <v>10689</v>
      </c>
      <c r="AE12" s="190">
        <v>4287151</v>
      </c>
    </row>
    <row r="13" spans="1:52" ht="15" customHeight="1">
      <c r="A13" s="187" t="s">
        <v>129</v>
      </c>
      <c r="B13" s="188">
        <v>193</v>
      </c>
      <c r="C13" s="188">
        <v>0</v>
      </c>
      <c r="D13" s="188">
        <v>0</v>
      </c>
      <c r="E13" s="188">
        <v>2621</v>
      </c>
      <c r="F13" s="188">
        <v>7</v>
      </c>
      <c r="G13" s="188">
        <v>4</v>
      </c>
      <c r="H13" s="188">
        <v>2814</v>
      </c>
      <c r="I13" s="188">
        <v>7</v>
      </c>
      <c r="J13" s="188">
        <v>4</v>
      </c>
      <c r="K13" s="188">
        <v>508</v>
      </c>
      <c r="L13" s="188">
        <v>4563</v>
      </c>
      <c r="M13" s="188">
        <v>5071</v>
      </c>
      <c r="N13" s="188">
        <v>0</v>
      </c>
      <c r="O13" s="188">
        <v>0</v>
      </c>
      <c r="P13" s="188">
        <v>13</v>
      </c>
      <c r="Q13" s="188">
        <v>8</v>
      </c>
      <c r="R13" s="188">
        <v>13</v>
      </c>
      <c r="S13" s="188">
        <v>8</v>
      </c>
      <c r="T13" s="188">
        <v>0</v>
      </c>
      <c r="U13" s="188">
        <v>5</v>
      </c>
      <c r="V13" s="188">
        <v>5</v>
      </c>
      <c r="W13" s="189" t="s">
        <v>125</v>
      </c>
      <c r="X13" s="189" t="s">
        <v>125</v>
      </c>
      <c r="Y13" s="189" t="s">
        <v>125</v>
      </c>
      <c r="Z13" s="188">
        <v>2992</v>
      </c>
      <c r="AA13" s="188">
        <v>2992</v>
      </c>
      <c r="AB13" s="188">
        <v>0</v>
      </c>
      <c r="AC13" s="188">
        <v>679927</v>
      </c>
      <c r="AD13" s="188">
        <v>1411</v>
      </c>
      <c r="AE13" s="190">
        <v>681338</v>
      </c>
    </row>
    <row r="14" spans="1:52" ht="15" customHeight="1">
      <c r="A14" s="187" t="s">
        <v>130</v>
      </c>
      <c r="B14" s="188">
        <v>87</v>
      </c>
      <c r="C14" s="188">
        <v>2</v>
      </c>
      <c r="D14" s="188">
        <v>0</v>
      </c>
      <c r="E14" s="188">
        <v>601</v>
      </c>
      <c r="F14" s="188">
        <v>2</v>
      </c>
      <c r="G14" s="188">
        <v>1</v>
      </c>
      <c r="H14" s="188">
        <v>688</v>
      </c>
      <c r="I14" s="188">
        <v>4</v>
      </c>
      <c r="J14" s="188">
        <v>1</v>
      </c>
      <c r="K14" s="188">
        <v>223</v>
      </c>
      <c r="L14" s="188">
        <v>1402</v>
      </c>
      <c r="M14" s="188">
        <v>1625</v>
      </c>
      <c r="N14" s="188">
        <v>4</v>
      </c>
      <c r="O14" s="188">
        <v>2</v>
      </c>
      <c r="P14" s="188">
        <v>4</v>
      </c>
      <c r="Q14" s="188">
        <v>2</v>
      </c>
      <c r="R14" s="188">
        <v>8</v>
      </c>
      <c r="S14" s="188">
        <v>4</v>
      </c>
      <c r="T14" s="188">
        <v>0</v>
      </c>
      <c r="U14" s="188">
        <v>1</v>
      </c>
      <c r="V14" s="188">
        <v>1</v>
      </c>
      <c r="W14" s="189" t="s">
        <v>125</v>
      </c>
      <c r="X14" s="189" t="s">
        <v>125</v>
      </c>
      <c r="Y14" s="189" t="s">
        <v>125</v>
      </c>
      <c r="Z14" s="188">
        <v>737</v>
      </c>
      <c r="AA14" s="188">
        <v>737</v>
      </c>
      <c r="AB14" s="188">
        <v>0</v>
      </c>
      <c r="AC14" s="188">
        <v>203062</v>
      </c>
      <c r="AD14" s="188">
        <v>943</v>
      </c>
      <c r="AE14" s="190">
        <v>204005</v>
      </c>
    </row>
    <row r="15" spans="1:52" ht="15" customHeight="1">
      <c r="A15" s="187" t="s">
        <v>131</v>
      </c>
      <c r="B15" s="188">
        <v>3843</v>
      </c>
      <c r="C15" s="188">
        <v>105</v>
      </c>
      <c r="D15" s="188">
        <v>1</v>
      </c>
      <c r="E15" s="188">
        <v>27170</v>
      </c>
      <c r="F15" s="188">
        <v>385</v>
      </c>
      <c r="G15" s="188">
        <v>133</v>
      </c>
      <c r="H15" s="188">
        <v>31013</v>
      </c>
      <c r="I15" s="188">
        <v>490</v>
      </c>
      <c r="J15" s="188">
        <v>134</v>
      </c>
      <c r="K15" s="188">
        <v>8913</v>
      </c>
      <c r="L15" s="188">
        <v>52260</v>
      </c>
      <c r="M15" s="188">
        <v>61173</v>
      </c>
      <c r="N15" s="188">
        <v>244</v>
      </c>
      <c r="O15" s="188">
        <v>155</v>
      </c>
      <c r="P15" s="188">
        <v>923</v>
      </c>
      <c r="Q15" s="188">
        <v>508</v>
      </c>
      <c r="R15" s="188">
        <v>1167</v>
      </c>
      <c r="S15" s="188">
        <v>663</v>
      </c>
      <c r="T15" s="188">
        <v>1</v>
      </c>
      <c r="U15" s="188">
        <v>170</v>
      </c>
      <c r="V15" s="188">
        <v>171</v>
      </c>
      <c r="W15" s="189" t="s">
        <v>125</v>
      </c>
      <c r="X15" s="189" t="s">
        <v>125</v>
      </c>
      <c r="Y15" s="189" t="s">
        <v>125</v>
      </c>
      <c r="Z15" s="188">
        <v>37204</v>
      </c>
      <c r="AA15" s="188">
        <v>37204</v>
      </c>
      <c r="AB15" s="188">
        <v>0</v>
      </c>
      <c r="AC15" s="188">
        <v>8898280</v>
      </c>
      <c r="AD15" s="188">
        <v>85437</v>
      </c>
      <c r="AE15" s="190">
        <v>8983717</v>
      </c>
    </row>
    <row r="16" spans="1:52" s="191" customFormat="1" ht="15" customHeight="1">
      <c r="A16" s="187" t="s">
        <v>132</v>
      </c>
      <c r="B16" s="188">
        <v>379</v>
      </c>
      <c r="C16" s="188">
        <v>0</v>
      </c>
      <c r="D16" s="188">
        <v>0</v>
      </c>
      <c r="E16" s="188">
        <v>2164</v>
      </c>
      <c r="F16" s="188">
        <v>0</v>
      </c>
      <c r="G16" s="188">
        <v>1</v>
      </c>
      <c r="H16" s="188">
        <v>2543</v>
      </c>
      <c r="I16" s="188">
        <v>0</v>
      </c>
      <c r="J16" s="188">
        <v>1</v>
      </c>
      <c r="K16" s="188">
        <v>1088</v>
      </c>
      <c r="L16" s="188">
        <v>4134</v>
      </c>
      <c r="M16" s="188">
        <v>5222</v>
      </c>
      <c r="N16" s="188">
        <v>0</v>
      </c>
      <c r="O16" s="188">
        <v>0</v>
      </c>
      <c r="P16" s="188">
        <v>0</v>
      </c>
      <c r="Q16" s="188">
        <v>0</v>
      </c>
      <c r="R16" s="188">
        <v>0</v>
      </c>
      <c r="S16" s="188">
        <v>0</v>
      </c>
      <c r="T16" s="188">
        <v>0</v>
      </c>
      <c r="U16" s="188">
        <v>2</v>
      </c>
      <c r="V16" s="188">
        <v>2</v>
      </c>
      <c r="W16" s="189" t="s">
        <v>125</v>
      </c>
      <c r="X16" s="189" t="s">
        <v>125</v>
      </c>
      <c r="Y16" s="189" t="s">
        <v>125</v>
      </c>
      <c r="Z16" s="188">
        <v>2688</v>
      </c>
      <c r="AA16" s="188">
        <v>2688</v>
      </c>
      <c r="AB16" s="188">
        <v>0</v>
      </c>
      <c r="AC16" s="188">
        <v>685591</v>
      </c>
      <c r="AD16" s="188">
        <v>207</v>
      </c>
      <c r="AE16" s="190">
        <v>685798</v>
      </c>
      <c r="AY16" s="192"/>
      <c r="AZ16" s="192"/>
    </row>
    <row r="17" spans="1:52" s="191" customFormat="1" ht="15" customHeight="1">
      <c r="A17" s="187" t="s">
        <v>133</v>
      </c>
      <c r="B17" s="188">
        <v>522</v>
      </c>
      <c r="C17" s="188">
        <v>1</v>
      </c>
      <c r="D17" s="188">
        <v>0</v>
      </c>
      <c r="E17" s="188">
        <v>6374</v>
      </c>
      <c r="F17" s="188">
        <v>30</v>
      </c>
      <c r="G17" s="188">
        <v>9</v>
      </c>
      <c r="H17" s="188">
        <v>6896</v>
      </c>
      <c r="I17" s="188">
        <v>31</v>
      </c>
      <c r="J17" s="188">
        <v>9</v>
      </c>
      <c r="K17" s="188">
        <v>1277</v>
      </c>
      <c r="L17" s="188">
        <v>10928</v>
      </c>
      <c r="M17" s="188">
        <v>12205</v>
      </c>
      <c r="N17" s="188">
        <v>1</v>
      </c>
      <c r="O17" s="188">
        <v>1</v>
      </c>
      <c r="P17" s="188">
        <v>84</v>
      </c>
      <c r="Q17" s="188">
        <v>37</v>
      </c>
      <c r="R17" s="188">
        <v>85</v>
      </c>
      <c r="S17" s="188">
        <v>38</v>
      </c>
      <c r="T17" s="188">
        <v>0</v>
      </c>
      <c r="U17" s="188">
        <v>11</v>
      </c>
      <c r="V17" s="188">
        <v>11</v>
      </c>
      <c r="W17" s="189" t="s">
        <v>125</v>
      </c>
      <c r="X17" s="189" t="s">
        <v>125</v>
      </c>
      <c r="Y17" s="189" t="s">
        <v>125</v>
      </c>
      <c r="Z17" s="188">
        <v>7295</v>
      </c>
      <c r="AA17" s="188">
        <v>7295</v>
      </c>
      <c r="AB17" s="188">
        <v>0</v>
      </c>
      <c r="AC17" s="188">
        <v>1632055</v>
      </c>
      <c r="AD17" s="188">
        <v>3872</v>
      </c>
      <c r="AE17" s="190">
        <v>1635927</v>
      </c>
      <c r="AY17" s="192"/>
      <c r="AZ17" s="192"/>
    </row>
    <row r="18" spans="1:52" s="191" customFormat="1" ht="15" customHeight="1">
      <c r="A18" s="187" t="s">
        <v>134</v>
      </c>
      <c r="B18" s="188">
        <v>12092</v>
      </c>
      <c r="C18" s="188">
        <v>196</v>
      </c>
      <c r="D18" s="188">
        <v>16</v>
      </c>
      <c r="E18" s="188">
        <v>77101</v>
      </c>
      <c r="F18" s="188">
        <v>672</v>
      </c>
      <c r="G18" s="188">
        <v>210</v>
      </c>
      <c r="H18" s="188">
        <v>89193</v>
      </c>
      <c r="I18" s="188">
        <v>868</v>
      </c>
      <c r="J18" s="188">
        <v>226</v>
      </c>
      <c r="K18" s="188">
        <v>32804</v>
      </c>
      <c r="L18" s="188">
        <v>173207</v>
      </c>
      <c r="M18" s="188">
        <v>206011</v>
      </c>
      <c r="N18" s="188">
        <v>507</v>
      </c>
      <c r="O18" s="188">
        <v>235</v>
      </c>
      <c r="P18" s="188">
        <v>1837</v>
      </c>
      <c r="Q18" s="188">
        <v>776</v>
      </c>
      <c r="R18" s="188">
        <v>2344</v>
      </c>
      <c r="S18" s="188">
        <v>1011</v>
      </c>
      <c r="T18" s="188">
        <v>30</v>
      </c>
      <c r="U18" s="188">
        <v>263</v>
      </c>
      <c r="V18" s="188">
        <v>293</v>
      </c>
      <c r="W18" s="189" t="s">
        <v>125</v>
      </c>
      <c r="X18" s="189" t="s">
        <v>125</v>
      </c>
      <c r="Y18" s="189" t="s">
        <v>125</v>
      </c>
      <c r="Z18" s="188">
        <v>104431</v>
      </c>
      <c r="AA18" s="188">
        <v>104431</v>
      </c>
      <c r="AB18" s="188">
        <v>0</v>
      </c>
      <c r="AC18" s="188">
        <v>30683994</v>
      </c>
      <c r="AD18" s="188">
        <v>162043</v>
      </c>
      <c r="AE18" s="190">
        <v>30846037</v>
      </c>
      <c r="AY18" s="192"/>
      <c r="AZ18" s="192"/>
    </row>
    <row r="19" spans="1:52" s="191" customFormat="1" ht="15" customHeight="1">
      <c r="A19" s="187" t="s">
        <v>135</v>
      </c>
      <c r="B19" s="188">
        <v>208</v>
      </c>
      <c r="C19" s="188">
        <v>1</v>
      </c>
      <c r="D19" s="188">
        <v>0</v>
      </c>
      <c r="E19" s="188">
        <v>1325</v>
      </c>
      <c r="F19" s="188">
        <v>7</v>
      </c>
      <c r="G19" s="188">
        <v>0</v>
      </c>
      <c r="H19" s="188">
        <v>1533</v>
      </c>
      <c r="I19" s="188">
        <v>8</v>
      </c>
      <c r="J19" s="188">
        <v>0</v>
      </c>
      <c r="K19" s="188">
        <v>555</v>
      </c>
      <c r="L19" s="188">
        <v>2963</v>
      </c>
      <c r="M19" s="188">
        <v>3518</v>
      </c>
      <c r="N19" s="188">
        <v>2</v>
      </c>
      <c r="O19" s="188">
        <v>1</v>
      </c>
      <c r="P19" s="188">
        <v>21</v>
      </c>
      <c r="Q19" s="188">
        <v>7</v>
      </c>
      <c r="R19" s="188">
        <v>23</v>
      </c>
      <c r="S19" s="188">
        <v>8</v>
      </c>
      <c r="T19" s="188">
        <v>0</v>
      </c>
      <c r="U19" s="188">
        <v>0</v>
      </c>
      <c r="V19" s="188">
        <v>0</v>
      </c>
      <c r="W19" s="189" t="s">
        <v>125</v>
      </c>
      <c r="X19" s="189" t="s">
        <v>125</v>
      </c>
      <c r="Y19" s="189" t="s">
        <v>125</v>
      </c>
      <c r="Z19" s="188">
        <v>1683</v>
      </c>
      <c r="AA19" s="188">
        <v>1683</v>
      </c>
      <c r="AB19" s="188">
        <v>0</v>
      </c>
      <c r="AC19" s="188">
        <v>440735</v>
      </c>
      <c r="AD19" s="188">
        <v>629</v>
      </c>
      <c r="AE19" s="190">
        <v>441364</v>
      </c>
      <c r="AY19" s="192"/>
      <c r="AZ19" s="192"/>
    </row>
    <row r="20" spans="1:52" s="191" customFormat="1" ht="15" customHeight="1">
      <c r="A20" s="187" t="s">
        <v>136</v>
      </c>
      <c r="B20" s="188">
        <v>852</v>
      </c>
      <c r="C20" s="188">
        <v>3</v>
      </c>
      <c r="D20" s="188">
        <v>0</v>
      </c>
      <c r="E20" s="188">
        <v>11402</v>
      </c>
      <c r="F20" s="188">
        <v>24</v>
      </c>
      <c r="G20" s="188">
        <v>5</v>
      </c>
      <c r="H20" s="188">
        <v>12254</v>
      </c>
      <c r="I20" s="188">
        <v>27</v>
      </c>
      <c r="J20" s="188">
        <v>5</v>
      </c>
      <c r="K20" s="188">
        <v>2144</v>
      </c>
      <c r="L20" s="188">
        <v>18459</v>
      </c>
      <c r="M20" s="188">
        <v>20603</v>
      </c>
      <c r="N20" s="188">
        <v>5</v>
      </c>
      <c r="O20" s="188">
        <v>4</v>
      </c>
      <c r="P20" s="188">
        <v>54</v>
      </c>
      <c r="Q20" s="188">
        <v>28</v>
      </c>
      <c r="R20" s="188">
        <v>59</v>
      </c>
      <c r="S20" s="188">
        <v>32</v>
      </c>
      <c r="T20" s="188">
        <v>0</v>
      </c>
      <c r="U20" s="188">
        <v>7</v>
      </c>
      <c r="V20" s="188">
        <v>7</v>
      </c>
      <c r="W20" s="189" t="s">
        <v>125</v>
      </c>
      <c r="X20" s="189" t="s">
        <v>125</v>
      </c>
      <c r="Y20" s="189" t="s">
        <v>125</v>
      </c>
      <c r="Z20" s="188">
        <v>13075</v>
      </c>
      <c r="AA20" s="188">
        <v>13075</v>
      </c>
      <c r="AB20" s="188">
        <v>0</v>
      </c>
      <c r="AC20" s="188">
        <v>2895131</v>
      </c>
      <c r="AD20" s="188">
        <v>4751</v>
      </c>
      <c r="AE20" s="190">
        <v>2899882</v>
      </c>
      <c r="AY20" s="192"/>
      <c r="AZ20" s="192"/>
    </row>
    <row r="21" spans="1:52" s="191" customFormat="1" ht="15" customHeight="1">
      <c r="A21" s="187" t="s">
        <v>137</v>
      </c>
      <c r="B21" s="188">
        <v>2230</v>
      </c>
      <c r="C21" s="188">
        <v>32</v>
      </c>
      <c r="D21" s="188">
        <v>3</v>
      </c>
      <c r="E21" s="188">
        <v>14617</v>
      </c>
      <c r="F21" s="188">
        <v>320</v>
      </c>
      <c r="G21" s="188">
        <v>50</v>
      </c>
      <c r="H21" s="188">
        <v>16847</v>
      </c>
      <c r="I21" s="188">
        <v>352</v>
      </c>
      <c r="J21" s="188">
        <v>53</v>
      </c>
      <c r="K21" s="188">
        <v>6300</v>
      </c>
      <c r="L21" s="188">
        <v>34019</v>
      </c>
      <c r="M21" s="188">
        <v>40319</v>
      </c>
      <c r="N21" s="188">
        <v>86</v>
      </c>
      <c r="O21" s="188">
        <v>32</v>
      </c>
      <c r="P21" s="188">
        <v>882</v>
      </c>
      <c r="Q21" s="188">
        <v>343</v>
      </c>
      <c r="R21" s="188">
        <v>968</v>
      </c>
      <c r="S21" s="188">
        <v>375</v>
      </c>
      <c r="T21" s="188">
        <v>3</v>
      </c>
      <c r="U21" s="188">
        <v>54</v>
      </c>
      <c r="V21" s="188">
        <v>57</v>
      </c>
      <c r="W21" s="189" t="s">
        <v>125</v>
      </c>
      <c r="X21" s="189" t="s">
        <v>125</v>
      </c>
      <c r="Y21" s="189" t="s">
        <v>125</v>
      </c>
      <c r="Z21" s="188">
        <v>18117</v>
      </c>
      <c r="AA21" s="188">
        <v>18117</v>
      </c>
      <c r="AB21" s="188">
        <v>0</v>
      </c>
      <c r="AC21" s="188">
        <v>5186823</v>
      </c>
      <c r="AD21" s="188">
        <v>40588</v>
      </c>
      <c r="AE21" s="190">
        <v>5227411</v>
      </c>
      <c r="AY21" s="192"/>
      <c r="AZ21" s="192"/>
    </row>
    <row r="22" spans="1:52" s="191" customFormat="1" ht="15" customHeight="1">
      <c r="A22" s="187" t="s">
        <v>138</v>
      </c>
      <c r="B22" s="188">
        <v>85</v>
      </c>
      <c r="C22" s="188">
        <v>1</v>
      </c>
      <c r="D22" s="188">
        <v>0</v>
      </c>
      <c r="E22" s="188">
        <v>928</v>
      </c>
      <c r="F22" s="188">
        <v>5</v>
      </c>
      <c r="G22" s="188">
        <v>1</v>
      </c>
      <c r="H22" s="188">
        <v>1013</v>
      </c>
      <c r="I22" s="188">
        <v>6</v>
      </c>
      <c r="J22" s="188">
        <v>1</v>
      </c>
      <c r="K22" s="188">
        <v>231</v>
      </c>
      <c r="L22" s="188">
        <v>1673</v>
      </c>
      <c r="M22" s="188">
        <v>1904</v>
      </c>
      <c r="N22" s="188">
        <v>2</v>
      </c>
      <c r="O22" s="188">
        <v>1</v>
      </c>
      <c r="P22" s="188">
        <v>8</v>
      </c>
      <c r="Q22" s="188">
        <v>6</v>
      </c>
      <c r="R22" s="188">
        <v>10</v>
      </c>
      <c r="S22" s="188">
        <v>7</v>
      </c>
      <c r="T22" s="188">
        <v>0</v>
      </c>
      <c r="U22" s="188">
        <v>1</v>
      </c>
      <c r="V22" s="188">
        <v>1</v>
      </c>
      <c r="W22" s="189" t="s">
        <v>125</v>
      </c>
      <c r="X22" s="189" t="s">
        <v>125</v>
      </c>
      <c r="Y22" s="189" t="s">
        <v>125</v>
      </c>
      <c r="Z22" s="188">
        <v>1070</v>
      </c>
      <c r="AA22" s="188">
        <v>1070</v>
      </c>
      <c r="AB22" s="188">
        <v>0</v>
      </c>
      <c r="AC22" s="188">
        <v>247334</v>
      </c>
      <c r="AD22" s="188">
        <v>540</v>
      </c>
      <c r="AE22" s="190">
        <v>247874</v>
      </c>
      <c r="AY22" s="192"/>
      <c r="AZ22" s="192"/>
    </row>
    <row r="23" spans="1:52" s="191" customFormat="1" ht="15" customHeight="1">
      <c r="A23" s="187" t="s">
        <v>139</v>
      </c>
      <c r="B23" s="188">
        <v>9936</v>
      </c>
      <c r="C23" s="188">
        <v>58</v>
      </c>
      <c r="D23" s="188">
        <v>2</v>
      </c>
      <c r="E23" s="188">
        <v>58962</v>
      </c>
      <c r="F23" s="188">
        <v>474</v>
      </c>
      <c r="G23" s="188">
        <v>254</v>
      </c>
      <c r="H23" s="188">
        <v>68898</v>
      </c>
      <c r="I23" s="188">
        <v>532</v>
      </c>
      <c r="J23" s="188">
        <v>256</v>
      </c>
      <c r="K23" s="188">
        <v>26622</v>
      </c>
      <c r="L23" s="188">
        <v>133101</v>
      </c>
      <c r="M23" s="188">
        <v>159723</v>
      </c>
      <c r="N23" s="188">
        <v>150</v>
      </c>
      <c r="O23" s="188">
        <v>65</v>
      </c>
      <c r="P23" s="188">
        <v>1286</v>
      </c>
      <c r="Q23" s="188">
        <v>517</v>
      </c>
      <c r="R23" s="188">
        <v>1436</v>
      </c>
      <c r="S23" s="188">
        <v>582</v>
      </c>
      <c r="T23" s="188">
        <v>2</v>
      </c>
      <c r="U23" s="188">
        <v>391</v>
      </c>
      <c r="V23" s="188">
        <v>393</v>
      </c>
      <c r="W23" s="189" t="s">
        <v>125</v>
      </c>
      <c r="X23" s="189" t="s">
        <v>125</v>
      </c>
      <c r="Y23" s="189" t="s">
        <v>125</v>
      </c>
      <c r="Z23" s="188">
        <v>74024</v>
      </c>
      <c r="AA23" s="188">
        <v>74024</v>
      </c>
      <c r="AB23" s="188">
        <v>0</v>
      </c>
      <c r="AC23" s="188">
        <v>21381140</v>
      </c>
      <c r="AD23" s="188">
        <v>131329</v>
      </c>
      <c r="AE23" s="190">
        <v>21512469</v>
      </c>
      <c r="AY23" s="192"/>
      <c r="AZ23" s="192"/>
    </row>
    <row r="24" spans="1:52" s="191" customFormat="1" ht="15" customHeight="1">
      <c r="A24" s="187" t="s">
        <v>140</v>
      </c>
      <c r="B24" s="188">
        <v>1527</v>
      </c>
      <c r="C24" s="188">
        <v>16</v>
      </c>
      <c r="D24" s="188">
        <v>0</v>
      </c>
      <c r="E24" s="188">
        <v>9111</v>
      </c>
      <c r="F24" s="188">
        <v>132</v>
      </c>
      <c r="G24" s="188">
        <v>32</v>
      </c>
      <c r="H24" s="188">
        <v>10638</v>
      </c>
      <c r="I24" s="188">
        <v>148</v>
      </c>
      <c r="J24" s="188">
        <v>32</v>
      </c>
      <c r="K24" s="188">
        <v>4163</v>
      </c>
      <c r="L24" s="188">
        <v>19847</v>
      </c>
      <c r="M24" s="188">
        <v>24010</v>
      </c>
      <c r="N24" s="188">
        <v>41</v>
      </c>
      <c r="O24" s="188">
        <v>16</v>
      </c>
      <c r="P24" s="188">
        <v>394</v>
      </c>
      <c r="Q24" s="188">
        <v>139</v>
      </c>
      <c r="R24" s="188">
        <v>435</v>
      </c>
      <c r="S24" s="188">
        <v>155</v>
      </c>
      <c r="T24" s="188">
        <v>0</v>
      </c>
      <c r="U24" s="188">
        <v>44</v>
      </c>
      <c r="V24" s="188">
        <v>44</v>
      </c>
      <c r="W24" s="189" t="s">
        <v>125</v>
      </c>
      <c r="X24" s="189" t="s">
        <v>125</v>
      </c>
      <c r="Y24" s="189" t="s">
        <v>125</v>
      </c>
      <c r="Z24" s="188">
        <v>11444</v>
      </c>
      <c r="AA24" s="188">
        <v>11444</v>
      </c>
      <c r="AB24" s="188">
        <v>0</v>
      </c>
      <c r="AC24" s="188">
        <v>3108402</v>
      </c>
      <c r="AD24" s="188">
        <v>21553</v>
      </c>
      <c r="AE24" s="190">
        <v>3129955</v>
      </c>
      <c r="AY24" s="192"/>
      <c r="AZ24" s="192"/>
    </row>
    <row r="25" spans="1:52" s="191" customFormat="1" ht="15" customHeight="1">
      <c r="A25" s="187" t="s">
        <v>141</v>
      </c>
      <c r="B25" s="188">
        <v>567</v>
      </c>
      <c r="C25" s="188">
        <v>7</v>
      </c>
      <c r="D25" s="188">
        <v>0</v>
      </c>
      <c r="E25" s="188">
        <v>5850</v>
      </c>
      <c r="F25" s="188">
        <v>23</v>
      </c>
      <c r="G25" s="188">
        <v>5</v>
      </c>
      <c r="H25" s="188">
        <v>6417</v>
      </c>
      <c r="I25" s="188">
        <v>30</v>
      </c>
      <c r="J25" s="188">
        <v>5</v>
      </c>
      <c r="K25" s="188">
        <v>1476</v>
      </c>
      <c r="L25" s="188">
        <v>10527</v>
      </c>
      <c r="M25" s="188">
        <v>12003</v>
      </c>
      <c r="N25" s="188">
        <v>19</v>
      </c>
      <c r="O25" s="188">
        <v>7</v>
      </c>
      <c r="P25" s="188">
        <v>51</v>
      </c>
      <c r="Q25" s="188">
        <v>30</v>
      </c>
      <c r="R25" s="188">
        <v>70</v>
      </c>
      <c r="S25" s="188">
        <v>37</v>
      </c>
      <c r="T25" s="188">
        <v>0</v>
      </c>
      <c r="U25" s="188">
        <v>8</v>
      </c>
      <c r="V25" s="188">
        <v>8</v>
      </c>
      <c r="W25" s="189" t="s">
        <v>125</v>
      </c>
      <c r="X25" s="189" t="s">
        <v>125</v>
      </c>
      <c r="Y25" s="189" t="s">
        <v>125</v>
      </c>
      <c r="Z25" s="188">
        <v>6817</v>
      </c>
      <c r="AA25" s="188">
        <v>6817</v>
      </c>
      <c r="AB25" s="188">
        <v>0</v>
      </c>
      <c r="AC25" s="188">
        <v>1635827</v>
      </c>
      <c r="AD25" s="188">
        <v>5140</v>
      </c>
      <c r="AE25" s="190">
        <v>1640967</v>
      </c>
      <c r="AY25" s="192"/>
      <c r="AZ25" s="192"/>
    </row>
    <row r="26" spans="1:52" s="191" customFormat="1" ht="15" customHeight="1">
      <c r="A26" s="187" t="s">
        <v>142</v>
      </c>
      <c r="B26" s="188">
        <v>238</v>
      </c>
      <c r="C26" s="188">
        <v>0</v>
      </c>
      <c r="D26" s="188">
        <v>0</v>
      </c>
      <c r="E26" s="188">
        <v>1333</v>
      </c>
      <c r="F26" s="188">
        <v>2</v>
      </c>
      <c r="G26" s="188">
        <v>0</v>
      </c>
      <c r="H26" s="188">
        <v>1571</v>
      </c>
      <c r="I26" s="188">
        <v>2</v>
      </c>
      <c r="J26" s="188">
        <v>0</v>
      </c>
      <c r="K26" s="188">
        <v>648</v>
      </c>
      <c r="L26" s="188">
        <v>2427</v>
      </c>
      <c r="M26" s="188">
        <v>3075</v>
      </c>
      <c r="N26" s="188">
        <v>0</v>
      </c>
      <c r="O26" s="188">
        <v>0</v>
      </c>
      <c r="P26" s="188">
        <v>5</v>
      </c>
      <c r="Q26" s="188">
        <v>3</v>
      </c>
      <c r="R26" s="188">
        <v>5</v>
      </c>
      <c r="S26" s="188">
        <v>3</v>
      </c>
      <c r="T26" s="188">
        <v>0</v>
      </c>
      <c r="U26" s="188">
        <v>0</v>
      </c>
      <c r="V26" s="188">
        <v>0</v>
      </c>
      <c r="W26" s="189" t="s">
        <v>125</v>
      </c>
      <c r="X26" s="189" t="s">
        <v>125</v>
      </c>
      <c r="Y26" s="189" t="s">
        <v>125</v>
      </c>
      <c r="Z26" s="188">
        <v>1673</v>
      </c>
      <c r="AA26" s="188">
        <v>1673</v>
      </c>
      <c r="AB26" s="188">
        <v>0</v>
      </c>
      <c r="AC26" s="188">
        <v>431220</v>
      </c>
      <c r="AD26" s="188">
        <v>268</v>
      </c>
      <c r="AE26" s="190">
        <v>431488</v>
      </c>
      <c r="AY26" s="192"/>
      <c r="AZ26" s="192"/>
    </row>
    <row r="27" spans="1:52" s="191" customFormat="1" ht="15" customHeight="1">
      <c r="A27" s="187" t="s">
        <v>143</v>
      </c>
      <c r="B27" s="188">
        <v>83192</v>
      </c>
      <c r="C27" s="188">
        <v>2245</v>
      </c>
      <c r="D27" s="188">
        <v>243</v>
      </c>
      <c r="E27" s="188">
        <v>441746</v>
      </c>
      <c r="F27" s="188">
        <v>5218</v>
      </c>
      <c r="G27" s="188">
        <v>3281</v>
      </c>
      <c r="H27" s="188">
        <v>524938</v>
      </c>
      <c r="I27" s="188">
        <v>7463</v>
      </c>
      <c r="J27" s="188">
        <v>3524</v>
      </c>
      <c r="K27" s="188">
        <v>203215</v>
      </c>
      <c r="L27" s="188">
        <v>845541</v>
      </c>
      <c r="M27" s="188">
        <v>1048756</v>
      </c>
      <c r="N27" s="188">
        <v>4679</v>
      </c>
      <c r="O27" s="188">
        <v>3098</v>
      </c>
      <c r="P27" s="188">
        <v>12045</v>
      </c>
      <c r="Q27" s="188">
        <v>6506</v>
      </c>
      <c r="R27" s="188">
        <v>16724</v>
      </c>
      <c r="S27" s="188">
        <v>9604</v>
      </c>
      <c r="T27" s="188">
        <v>300</v>
      </c>
      <c r="U27" s="188">
        <v>4226</v>
      </c>
      <c r="V27" s="188">
        <v>4526</v>
      </c>
      <c r="W27" s="189" t="s">
        <v>125</v>
      </c>
      <c r="X27" s="189" t="s">
        <v>125</v>
      </c>
      <c r="Y27" s="189" t="s">
        <v>125</v>
      </c>
      <c r="Z27" s="188">
        <v>570381</v>
      </c>
      <c r="AA27" s="188">
        <v>570381</v>
      </c>
      <c r="AB27" s="188">
        <v>0</v>
      </c>
      <c r="AC27" s="188">
        <v>153794759</v>
      </c>
      <c r="AD27" s="188">
        <v>1773865</v>
      </c>
      <c r="AE27" s="190">
        <v>155568624</v>
      </c>
      <c r="AY27" s="192"/>
      <c r="AZ27" s="192"/>
    </row>
    <row r="28" spans="1:52" s="191" customFormat="1" ht="15" customHeight="1">
      <c r="A28" s="187" t="s">
        <v>144</v>
      </c>
      <c r="B28" s="188">
        <v>1776</v>
      </c>
      <c r="C28" s="188">
        <v>16</v>
      </c>
      <c r="D28" s="188">
        <v>1</v>
      </c>
      <c r="E28" s="188">
        <v>9929</v>
      </c>
      <c r="F28" s="188">
        <v>64</v>
      </c>
      <c r="G28" s="188">
        <v>10</v>
      </c>
      <c r="H28" s="188">
        <v>11705</v>
      </c>
      <c r="I28" s="188">
        <v>80</v>
      </c>
      <c r="J28" s="188">
        <v>11</v>
      </c>
      <c r="K28" s="188">
        <v>4836</v>
      </c>
      <c r="L28" s="188">
        <v>23498</v>
      </c>
      <c r="M28" s="188">
        <v>28334</v>
      </c>
      <c r="N28" s="188">
        <v>44</v>
      </c>
      <c r="O28" s="188">
        <v>16</v>
      </c>
      <c r="P28" s="188">
        <v>192</v>
      </c>
      <c r="Q28" s="188">
        <v>68</v>
      </c>
      <c r="R28" s="188">
        <v>236</v>
      </c>
      <c r="S28" s="188">
        <v>84</v>
      </c>
      <c r="T28" s="188">
        <v>1</v>
      </c>
      <c r="U28" s="188">
        <v>18</v>
      </c>
      <c r="V28" s="188">
        <v>19</v>
      </c>
      <c r="W28" s="189" t="s">
        <v>125</v>
      </c>
      <c r="X28" s="189" t="s">
        <v>125</v>
      </c>
      <c r="Y28" s="189" t="s">
        <v>125</v>
      </c>
      <c r="Z28" s="188">
        <v>8892</v>
      </c>
      <c r="AA28" s="188">
        <v>8892</v>
      </c>
      <c r="AB28" s="188">
        <v>0</v>
      </c>
      <c r="AC28" s="188">
        <v>3762530</v>
      </c>
      <c r="AD28" s="188">
        <v>10377</v>
      </c>
      <c r="AE28" s="190">
        <v>3772907</v>
      </c>
      <c r="AY28" s="192"/>
      <c r="AZ28" s="192"/>
    </row>
    <row r="29" spans="1:52" s="191" customFormat="1" ht="15" customHeight="1">
      <c r="A29" s="187" t="s">
        <v>145</v>
      </c>
      <c r="B29" s="188">
        <v>534</v>
      </c>
      <c r="C29" s="188">
        <v>32</v>
      </c>
      <c r="D29" s="188">
        <v>3</v>
      </c>
      <c r="E29" s="188">
        <v>5125</v>
      </c>
      <c r="F29" s="188">
        <v>234</v>
      </c>
      <c r="G29" s="188">
        <v>63</v>
      </c>
      <c r="H29" s="188">
        <v>5659</v>
      </c>
      <c r="I29" s="188">
        <v>266</v>
      </c>
      <c r="J29" s="188">
        <v>66</v>
      </c>
      <c r="K29" s="188">
        <v>1153</v>
      </c>
      <c r="L29" s="188">
        <v>7822</v>
      </c>
      <c r="M29" s="188">
        <v>8975</v>
      </c>
      <c r="N29" s="188">
        <v>68</v>
      </c>
      <c r="O29" s="188">
        <v>36</v>
      </c>
      <c r="P29" s="188">
        <v>472</v>
      </c>
      <c r="Q29" s="188">
        <v>285</v>
      </c>
      <c r="R29" s="188">
        <v>540</v>
      </c>
      <c r="S29" s="188">
        <v>321</v>
      </c>
      <c r="T29" s="188">
        <v>3</v>
      </c>
      <c r="U29" s="188">
        <v>74</v>
      </c>
      <c r="V29" s="188">
        <v>77</v>
      </c>
      <c r="W29" s="189" t="s">
        <v>125</v>
      </c>
      <c r="X29" s="189" t="s">
        <v>125</v>
      </c>
      <c r="Y29" s="189" t="s">
        <v>125</v>
      </c>
      <c r="Z29" s="188">
        <v>6277</v>
      </c>
      <c r="AA29" s="188">
        <v>6277</v>
      </c>
      <c r="AB29" s="188">
        <v>0</v>
      </c>
      <c r="AC29" s="188">
        <v>1357235</v>
      </c>
      <c r="AD29" s="188">
        <v>33981</v>
      </c>
      <c r="AE29" s="190">
        <v>1391216</v>
      </c>
      <c r="AY29" s="192"/>
      <c r="AZ29" s="192"/>
    </row>
    <row r="30" spans="1:52" s="191" customFormat="1" ht="15" customHeight="1">
      <c r="A30" s="187" t="s">
        <v>146</v>
      </c>
      <c r="B30" s="188">
        <v>91</v>
      </c>
      <c r="C30" s="188">
        <v>1</v>
      </c>
      <c r="D30" s="188">
        <v>0</v>
      </c>
      <c r="E30" s="188">
        <v>911</v>
      </c>
      <c r="F30" s="188">
        <v>2</v>
      </c>
      <c r="G30" s="188">
        <v>2</v>
      </c>
      <c r="H30" s="188">
        <v>1002</v>
      </c>
      <c r="I30" s="188">
        <v>3</v>
      </c>
      <c r="J30" s="188">
        <v>2</v>
      </c>
      <c r="K30" s="188">
        <v>245</v>
      </c>
      <c r="L30" s="188">
        <v>1577</v>
      </c>
      <c r="M30" s="188">
        <v>1822</v>
      </c>
      <c r="N30" s="188">
        <v>1</v>
      </c>
      <c r="O30" s="188">
        <v>1</v>
      </c>
      <c r="P30" s="188">
        <v>5</v>
      </c>
      <c r="Q30" s="188">
        <v>2</v>
      </c>
      <c r="R30" s="188">
        <v>6</v>
      </c>
      <c r="S30" s="188">
        <v>3</v>
      </c>
      <c r="T30" s="188">
        <v>0</v>
      </c>
      <c r="U30" s="188">
        <v>2</v>
      </c>
      <c r="V30" s="188">
        <v>2</v>
      </c>
      <c r="W30" s="189" t="s">
        <v>125</v>
      </c>
      <c r="X30" s="189" t="s">
        <v>125</v>
      </c>
      <c r="Y30" s="189" t="s">
        <v>125</v>
      </c>
      <c r="Z30" s="188">
        <v>1091</v>
      </c>
      <c r="AA30" s="188">
        <v>1091</v>
      </c>
      <c r="AB30" s="188">
        <v>0</v>
      </c>
      <c r="AC30" s="188">
        <v>248511</v>
      </c>
      <c r="AD30" s="188">
        <v>472</v>
      </c>
      <c r="AE30" s="190">
        <v>248983</v>
      </c>
      <c r="AY30" s="192"/>
      <c r="AZ30" s="192"/>
    </row>
    <row r="31" spans="1:52" s="191" customFormat="1" ht="15" customHeight="1">
      <c r="A31" s="187" t="s">
        <v>147</v>
      </c>
      <c r="B31" s="188">
        <v>550</v>
      </c>
      <c r="C31" s="188">
        <v>6</v>
      </c>
      <c r="D31" s="188">
        <v>0</v>
      </c>
      <c r="E31" s="188">
        <v>5665</v>
      </c>
      <c r="F31" s="188">
        <v>40</v>
      </c>
      <c r="G31" s="188">
        <v>11</v>
      </c>
      <c r="H31" s="188">
        <v>6215</v>
      </c>
      <c r="I31" s="188">
        <v>46</v>
      </c>
      <c r="J31" s="188">
        <v>11</v>
      </c>
      <c r="K31" s="188">
        <v>1387</v>
      </c>
      <c r="L31" s="188">
        <v>10277</v>
      </c>
      <c r="M31" s="188">
        <v>11664</v>
      </c>
      <c r="N31" s="188">
        <v>16</v>
      </c>
      <c r="O31" s="188">
        <v>6</v>
      </c>
      <c r="P31" s="188">
        <v>110</v>
      </c>
      <c r="Q31" s="188">
        <v>44</v>
      </c>
      <c r="R31" s="188">
        <v>126</v>
      </c>
      <c r="S31" s="188">
        <v>50</v>
      </c>
      <c r="T31" s="188">
        <v>0</v>
      </c>
      <c r="U31" s="188">
        <v>13</v>
      </c>
      <c r="V31" s="188">
        <v>13</v>
      </c>
      <c r="W31" s="189" t="s">
        <v>125</v>
      </c>
      <c r="X31" s="189" t="s">
        <v>125</v>
      </c>
      <c r="Y31" s="189" t="s">
        <v>125</v>
      </c>
      <c r="Z31" s="188">
        <v>6715</v>
      </c>
      <c r="AA31" s="188">
        <v>6715</v>
      </c>
      <c r="AB31" s="188">
        <v>0</v>
      </c>
      <c r="AC31" s="188">
        <v>1663137</v>
      </c>
      <c r="AD31" s="188">
        <v>7510</v>
      </c>
      <c r="AE31" s="190">
        <v>1670647</v>
      </c>
      <c r="AY31" s="192"/>
      <c r="AZ31" s="192"/>
    </row>
    <row r="32" spans="1:52" s="191" customFormat="1" ht="15" customHeight="1">
      <c r="A32" s="187" t="s">
        <v>148</v>
      </c>
      <c r="B32" s="188">
        <v>3653</v>
      </c>
      <c r="C32" s="188">
        <v>14</v>
      </c>
      <c r="D32" s="188">
        <v>1</v>
      </c>
      <c r="E32" s="188">
        <v>20129</v>
      </c>
      <c r="F32" s="188">
        <v>87</v>
      </c>
      <c r="G32" s="188">
        <v>12</v>
      </c>
      <c r="H32" s="188">
        <v>23782</v>
      </c>
      <c r="I32" s="188">
        <v>101</v>
      </c>
      <c r="J32" s="188">
        <v>13</v>
      </c>
      <c r="K32" s="188">
        <v>9886</v>
      </c>
      <c r="L32" s="188">
        <v>45182</v>
      </c>
      <c r="M32" s="188">
        <v>55068</v>
      </c>
      <c r="N32" s="188">
        <v>32</v>
      </c>
      <c r="O32" s="188">
        <v>15</v>
      </c>
      <c r="P32" s="188">
        <v>257</v>
      </c>
      <c r="Q32" s="188">
        <v>95</v>
      </c>
      <c r="R32" s="188">
        <v>289</v>
      </c>
      <c r="S32" s="188">
        <v>110</v>
      </c>
      <c r="T32" s="188">
        <v>1</v>
      </c>
      <c r="U32" s="188">
        <v>12</v>
      </c>
      <c r="V32" s="188">
        <v>13</v>
      </c>
      <c r="W32" s="189" t="s">
        <v>125</v>
      </c>
      <c r="X32" s="189" t="s">
        <v>125</v>
      </c>
      <c r="Y32" s="189" t="s">
        <v>125</v>
      </c>
      <c r="Z32" s="188">
        <v>25287</v>
      </c>
      <c r="AA32" s="188">
        <v>25287</v>
      </c>
      <c r="AB32" s="188">
        <v>0</v>
      </c>
      <c r="AC32" s="188">
        <v>7277632</v>
      </c>
      <c r="AD32" s="188">
        <v>11195</v>
      </c>
      <c r="AE32" s="190">
        <v>7288827</v>
      </c>
      <c r="AY32" s="192"/>
      <c r="AZ32" s="192"/>
    </row>
    <row r="33" spans="1:52" s="191" customFormat="1" ht="15" customHeight="1">
      <c r="A33" s="187" t="s">
        <v>149</v>
      </c>
      <c r="B33" s="188">
        <v>81</v>
      </c>
      <c r="C33" s="188">
        <v>1</v>
      </c>
      <c r="D33" s="188">
        <v>0</v>
      </c>
      <c r="E33" s="188">
        <v>471</v>
      </c>
      <c r="F33" s="188">
        <v>0</v>
      </c>
      <c r="G33" s="188">
        <v>1</v>
      </c>
      <c r="H33" s="188">
        <v>552</v>
      </c>
      <c r="I33" s="188">
        <v>1</v>
      </c>
      <c r="J33" s="188">
        <v>1</v>
      </c>
      <c r="K33" s="188">
        <v>213</v>
      </c>
      <c r="L33" s="188">
        <v>969</v>
      </c>
      <c r="M33" s="188">
        <v>1182</v>
      </c>
      <c r="N33" s="188">
        <v>1</v>
      </c>
      <c r="O33" s="188">
        <v>1</v>
      </c>
      <c r="P33" s="188">
        <v>0</v>
      </c>
      <c r="Q33" s="188">
        <v>0</v>
      </c>
      <c r="R33" s="188">
        <v>1</v>
      </c>
      <c r="S33" s="188">
        <v>1</v>
      </c>
      <c r="T33" s="188">
        <v>0</v>
      </c>
      <c r="U33" s="188">
        <v>2</v>
      </c>
      <c r="V33" s="188">
        <v>2</v>
      </c>
      <c r="W33" s="189" t="s">
        <v>125</v>
      </c>
      <c r="X33" s="189" t="s">
        <v>125</v>
      </c>
      <c r="Y33" s="189" t="s">
        <v>125</v>
      </c>
      <c r="Z33" s="188">
        <v>620</v>
      </c>
      <c r="AA33" s="188">
        <v>620</v>
      </c>
      <c r="AB33" s="188">
        <v>0</v>
      </c>
      <c r="AC33" s="188">
        <v>161090</v>
      </c>
      <c r="AD33" s="188">
        <v>493</v>
      </c>
      <c r="AE33" s="190">
        <v>161583</v>
      </c>
      <c r="AY33" s="192"/>
      <c r="AZ33" s="192"/>
    </row>
    <row r="34" spans="1:52" s="191" customFormat="1" ht="15" customHeight="1">
      <c r="A34" s="187" t="s">
        <v>150</v>
      </c>
      <c r="B34" s="188">
        <v>9</v>
      </c>
      <c r="C34" s="188">
        <v>0</v>
      </c>
      <c r="D34" s="188">
        <v>0</v>
      </c>
      <c r="E34" s="188">
        <v>428</v>
      </c>
      <c r="F34" s="188">
        <v>3</v>
      </c>
      <c r="G34" s="188">
        <v>0</v>
      </c>
      <c r="H34" s="188">
        <v>437</v>
      </c>
      <c r="I34" s="188">
        <v>3</v>
      </c>
      <c r="J34" s="188">
        <v>0</v>
      </c>
      <c r="K34" s="188">
        <v>22</v>
      </c>
      <c r="L34" s="188">
        <v>680</v>
      </c>
      <c r="M34" s="188">
        <v>702</v>
      </c>
      <c r="N34" s="188">
        <v>0</v>
      </c>
      <c r="O34" s="188">
        <v>0</v>
      </c>
      <c r="P34" s="188">
        <v>9</v>
      </c>
      <c r="Q34" s="188">
        <v>3</v>
      </c>
      <c r="R34" s="188">
        <v>9</v>
      </c>
      <c r="S34" s="188">
        <v>3</v>
      </c>
      <c r="T34" s="188">
        <v>0</v>
      </c>
      <c r="U34" s="188">
        <v>0</v>
      </c>
      <c r="V34" s="188">
        <v>0</v>
      </c>
      <c r="W34" s="189" t="s">
        <v>125</v>
      </c>
      <c r="X34" s="189" t="s">
        <v>125</v>
      </c>
      <c r="Y34" s="189" t="s">
        <v>125</v>
      </c>
      <c r="Z34" s="188">
        <v>487</v>
      </c>
      <c r="AA34" s="188">
        <v>487</v>
      </c>
      <c r="AB34" s="188">
        <v>0</v>
      </c>
      <c r="AC34" s="188">
        <v>102771</v>
      </c>
      <c r="AD34" s="188">
        <v>471</v>
      </c>
      <c r="AE34" s="190">
        <v>103242</v>
      </c>
      <c r="AY34" s="192"/>
      <c r="AZ34" s="192"/>
    </row>
    <row r="35" spans="1:52" s="191" customFormat="1" ht="15" customHeight="1">
      <c r="A35" s="187" t="s">
        <v>151</v>
      </c>
      <c r="B35" s="188">
        <v>3398</v>
      </c>
      <c r="C35" s="188">
        <v>26</v>
      </c>
      <c r="D35" s="188">
        <v>0</v>
      </c>
      <c r="E35" s="188">
        <v>19750</v>
      </c>
      <c r="F35" s="188">
        <v>246</v>
      </c>
      <c r="G35" s="188">
        <v>31</v>
      </c>
      <c r="H35" s="188">
        <v>23148</v>
      </c>
      <c r="I35" s="188">
        <v>272</v>
      </c>
      <c r="J35" s="188">
        <v>31</v>
      </c>
      <c r="K35" s="188">
        <v>8649</v>
      </c>
      <c r="L35" s="188">
        <v>42723</v>
      </c>
      <c r="M35" s="188">
        <v>51372</v>
      </c>
      <c r="N35" s="188">
        <v>72</v>
      </c>
      <c r="O35" s="188">
        <v>27</v>
      </c>
      <c r="P35" s="188">
        <v>686</v>
      </c>
      <c r="Q35" s="188">
        <v>277</v>
      </c>
      <c r="R35" s="188">
        <v>758</v>
      </c>
      <c r="S35" s="188">
        <v>304</v>
      </c>
      <c r="T35" s="188">
        <v>0</v>
      </c>
      <c r="U35" s="188">
        <v>41</v>
      </c>
      <c r="V35" s="188">
        <v>41</v>
      </c>
      <c r="W35" s="189" t="s">
        <v>125</v>
      </c>
      <c r="X35" s="189" t="s">
        <v>125</v>
      </c>
      <c r="Y35" s="189" t="s">
        <v>125</v>
      </c>
      <c r="Z35" s="188">
        <v>25164</v>
      </c>
      <c r="AA35" s="188">
        <v>25164</v>
      </c>
      <c r="AB35" s="188">
        <v>0</v>
      </c>
      <c r="AC35" s="188">
        <v>7118371</v>
      </c>
      <c r="AD35" s="188">
        <v>34786</v>
      </c>
      <c r="AE35" s="190">
        <v>7153157</v>
      </c>
      <c r="AY35" s="192"/>
      <c r="AZ35" s="192"/>
    </row>
    <row r="36" spans="1:52" s="191" customFormat="1" ht="15" customHeight="1">
      <c r="A36" s="187" t="s">
        <v>152</v>
      </c>
      <c r="B36" s="188">
        <v>293</v>
      </c>
      <c r="C36" s="188">
        <v>8</v>
      </c>
      <c r="D36" s="188">
        <v>0</v>
      </c>
      <c r="E36" s="188">
        <v>2986</v>
      </c>
      <c r="F36" s="188">
        <v>45</v>
      </c>
      <c r="G36" s="188">
        <v>5</v>
      </c>
      <c r="H36" s="188">
        <v>3279</v>
      </c>
      <c r="I36" s="188">
        <v>53</v>
      </c>
      <c r="J36" s="188">
        <v>5</v>
      </c>
      <c r="K36" s="188">
        <v>723</v>
      </c>
      <c r="L36" s="188">
        <v>5818</v>
      </c>
      <c r="M36" s="188">
        <v>6541</v>
      </c>
      <c r="N36" s="188">
        <v>21</v>
      </c>
      <c r="O36" s="188">
        <v>9</v>
      </c>
      <c r="P36" s="188">
        <v>119</v>
      </c>
      <c r="Q36" s="188">
        <v>48</v>
      </c>
      <c r="R36" s="188">
        <v>140</v>
      </c>
      <c r="S36" s="188">
        <v>57</v>
      </c>
      <c r="T36" s="188">
        <v>0</v>
      </c>
      <c r="U36" s="188">
        <v>6</v>
      </c>
      <c r="V36" s="188">
        <v>6</v>
      </c>
      <c r="W36" s="189" t="s">
        <v>125</v>
      </c>
      <c r="X36" s="189" t="s">
        <v>125</v>
      </c>
      <c r="Y36" s="189" t="s">
        <v>125</v>
      </c>
      <c r="Z36" s="188">
        <v>3587</v>
      </c>
      <c r="AA36" s="188">
        <v>3587</v>
      </c>
      <c r="AB36" s="188">
        <v>0</v>
      </c>
      <c r="AC36" s="188">
        <v>838598</v>
      </c>
      <c r="AD36" s="188">
        <v>4035</v>
      </c>
      <c r="AE36" s="190">
        <v>842633</v>
      </c>
      <c r="AY36" s="192"/>
      <c r="AZ36" s="192"/>
    </row>
    <row r="37" spans="1:52" s="191" customFormat="1" ht="15" customHeight="1">
      <c r="A37" s="187" t="s">
        <v>153</v>
      </c>
      <c r="B37" s="188">
        <v>249</v>
      </c>
      <c r="C37" s="188">
        <v>2</v>
      </c>
      <c r="D37" s="188">
        <v>0</v>
      </c>
      <c r="E37" s="188">
        <v>3907</v>
      </c>
      <c r="F37" s="188">
        <v>10</v>
      </c>
      <c r="G37" s="188">
        <v>1</v>
      </c>
      <c r="H37" s="188">
        <v>4156</v>
      </c>
      <c r="I37" s="188">
        <v>12</v>
      </c>
      <c r="J37" s="188">
        <v>1</v>
      </c>
      <c r="K37" s="188">
        <v>626</v>
      </c>
      <c r="L37" s="188">
        <v>6579</v>
      </c>
      <c r="M37" s="188">
        <v>7205</v>
      </c>
      <c r="N37" s="188">
        <v>4</v>
      </c>
      <c r="O37" s="188">
        <v>2</v>
      </c>
      <c r="P37" s="188">
        <v>24</v>
      </c>
      <c r="Q37" s="188">
        <v>11</v>
      </c>
      <c r="R37" s="188">
        <v>28</v>
      </c>
      <c r="S37" s="188">
        <v>13</v>
      </c>
      <c r="T37" s="188">
        <v>0</v>
      </c>
      <c r="U37" s="188">
        <v>1</v>
      </c>
      <c r="V37" s="188">
        <v>1</v>
      </c>
      <c r="W37" s="189" t="s">
        <v>125</v>
      </c>
      <c r="X37" s="189" t="s">
        <v>125</v>
      </c>
      <c r="Y37" s="189" t="s">
        <v>125</v>
      </c>
      <c r="Z37" s="188">
        <v>4450</v>
      </c>
      <c r="AA37" s="188">
        <v>4450</v>
      </c>
      <c r="AB37" s="188">
        <v>0</v>
      </c>
      <c r="AC37" s="188">
        <v>990869</v>
      </c>
      <c r="AD37" s="188">
        <v>1004</v>
      </c>
      <c r="AE37" s="190">
        <v>991873</v>
      </c>
      <c r="AY37" s="192"/>
      <c r="AZ37" s="192"/>
    </row>
    <row r="38" spans="1:52" s="191" customFormat="1" ht="15" customHeight="1">
      <c r="A38" s="187" t="s">
        <v>154</v>
      </c>
      <c r="B38" s="188">
        <v>9956</v>
      </c>
      <c r="C38" s="188">
        <v>213</v>
      </c>
      <c r="D38" s="188">
        <v>4</v>
      </c>
      <c r="E38" s="188">
        <v>104845</v>
      </c>
      <c r="F38" s="188">
        <v>2029</v>
      </c>
      <c r="G38" s="188">
        <v>1111</v>
      </c>
      <c r="H38" s="188">
        <v>114801</v>
      </c>
      <c r="I38" s="188">
        <v>2242</v>
      </c>
      <c r="J38" s="188">
        <v>1115</v>
      </c>
      <c r="K38" s="188">
        <v>25658</v>
      </c>
      <c r="L38" s="188">
        <v>205890</v>
      </c>
      <c r="M38" s="188">
        <v>231548</v>
      </c>
      <c r="N38" s="188">
        <v>465</v>
      </c>
      <c r="O38" s="188">
        <v>307</v>
      </c>
      <c r="P38" s="188">
        <v>4353</v>
      </c>
      <c r="Q38" s="188">
        <v>2589</v>
      </c>
      <c r="R38" s="188">
        <v>4818</v>
      </c>
      <c r="S38" s="188">
        <v>2896</v>
      </c>
      <c r="T38" s="188">
        <v>6</v>
      </c>
      <c r="U38" s="188">
        <v>1503</v>
      </c>
      <c r="V38" s="188">
        <v>1509</v>
      </c>
      <c r="W38" s="189" t="s">
        <v>125</v>
      </c>
      <c r="X38" s="189" t="s">
        <v>125</v>
      </c>
      <c r="Y38" s="189" t="s">
        <v>125</v>
      </c>
      <c r="Z38" s="188">
        <v>124405</v>
      </c>
      <c r="AA38" s="188">
        <v>124405</v>
      </c>
      <c r="AB38" s="188">
        <v>0</v>
      </c>
      <c r="AC38" s="188">
        <v>31796025</v>
      </c>
      <c r="AD38" s="188">
        <v>500598</v>
      </c>
      <c r="AE38" s="190">
        <v>32296623</v>
      </c>
      <c r="AY38" s="192"/>
      <c r="AZ38" s="192"/>
    </row>
    <row r="39" spans="1:52" s="191" customFormat="1" ht="15" customHeight="1">
      <c r="A39" s="187" t="s">
        <v>155</v>
      </c>
      <c r="B39" s="188">
        <v>675</v>
      </c>
      <c r="C39" s="188">
        <v>7</v>
      </c>
      <c r="D39" s="188">
        <v>2</v>
      </c>
      <c r="E39" s="188">
        <v>8096</v>
      </c>
      <c r="F39" s="188">
        <v>39</v>
      </c>
      <c r="G39" s="188">
        <v>31</v>
      </c>
      <c r="H39" s="188">
        <v>8771</v>
      </c>
      <c r="I39" s="188">
        <v>46</v>
      </c>
      <c r="J39" s="188">
        <v>33</v>
      </c>
      <c r="K39" s="188">
        <v>1740</v>
      </c>
      <c r="L39" s="188">
        <v>14511</v>
      </c>
      <c r="M39" s="188">
        <v>16251</v>
      </c>
      <c r="N39" s="188">
        <v>15</v>
      </c>
      <c r="O39" s="188">
        <v>10</v>
      </c>
      <c r="P39" s="188">
        <v>96</v>
      </c>
      <c r="Q39" s="188">
        <v>50</v>
      </c>
      <c r="R39" s="188">
        <v>111</v>
      </c>
      <c r="S39" s="188">
        <v>60</v>
      </c>
      <c r="T39" s="188">
        <v>7</v>
      </c>
      <c r="U39" s="188">
        <v>43</v>
      </c>
      <c r="V39" s="188">
        <v>50</v>
      </c>
      <c r="W39" s="189" t="s">
        <v>125</v>
      </c>
      <c r="X39" s="189" t="s">
        <v>125</v>
      </c>
      <c r="Y39" s="189" t="s">
        <v>125</v>
      </c>
      <c r="Z39" s="188">
        <v>9305</v>
      </c>
      <c r="AA39" s="188">
        <v>9305</v>
      </c>
      <c r="AB39" s="188">
        <v>0</v>
      </c>
      <c r="AC39" s="188">
        <v>2106788</v>
      </c>
      <c r="AD39" s="188">
        <v>12413</v>
      </c>
      <c r="AE39" s="190">
        <v>2119201</v>
      </c>
      <c r="AY39" s="192"/>
      <c r="AZ39" s="192"/>
    </row>
    <row r="40" spans="1:52" s="191" customFormat="1" ht="15" customHeight="1">
      <c r="A40" s="187" t="s">
        <v>156</v>
      </c>
      <c r="B40" s="188">
        <v>85</v>
      </c>
      <c r="C40" s="188">
        <v>0</v>
      </c>
      <c r="D40" s="188">
        <v>0</v>
      </c>
      <c r="E40" s="188">
        <v>1084</v>
      </c>
      <c r="F40" s="188">
        <v>1</v>
      </c>
      <c r="G40" s="188">
        <v>0</v>
      </c>
      <c r="H40" s="188">
        <v>1169</v>
      </c>
      <c r="I40" s="188">
        <v>1</v>
      </c>
      <c r="J40" s="188">
        <v>0</v>
      </c>
      <c r="K40" s="188">
        <v>216</v>
      </c>
      <c r="L40" s="188">
        <v>1833</v>
      </c>
      <c r="M40" s="188">
        <v>2049</v>
      </c>
      <c r="N40" s="188">
        <v>0</v>
      </c>
      <c r="O40" s="188">
        <v>0</v>
      </c>
      <c r="P40" s="188">
        <v>0</v>
      </c>
      <c r="Q40" s="188">
        <v>1</v>
      </c>
      <c r="R40" s="188">
        <v>0</v>
      </c>
      <c r="S40" s="188">
        <v>1</v>
      </c>
      <c r="T40" s="188">
        <v>0</v>
      </c>
      <c r="U40" s="188">
        <v>0</v>
      </c>
      <c r="V40" s="188">
        <v>0</v>
      </c>
      <c r="W40" s="189" t="s">
        <v>125</v>
      </c>
      <c r="X40" s="189" t="s">
        <v>125</v>
      </c>
      <c r="Y40" s="189" t="s">
        <v>125</v>
      </c>
      <c r="Z40" s="188">
        <v>1222</v>
      </c>
      <c r="AA40" s="188">
        <v>1222</v>
      </c>
      <c r="AB40" s="188">
        <v>0</v>
      </c>
      <c r="AC40" s="188">
        <v>293577</v>
      </c>
      <c r="AD40" s="188">
        <v>138</v>
      </c>
      <c r="AE40" s="190">
        <v>293715</v>
      </c>
      <c r="AY40" s="192"/>
      <c r="AZ40" s="192"/>
    </row>
    <row r="41" spans="1:52" s="191" customFormat="1" ht="15" customHeight="1">
      <c r="A41" s="187" t="s">
        <v>157</v>
      </c>
      <c r="B41" s="188">
        <v>14574</v>
      </c>
      <c r="C41" s="188">
        <v>102</v>
      </c>
      <c r="D41" s="188">
        <v>7</v>
      </c>
      <c r="E41" s="188">
        <v>107616</v>
      </c>
      <c r="F41" s="188">
        <v>784</v>
      </c>
      <c r="G41" s="188">
        <v>179</v>
      </c>
      <c r="H41" s="188">
        <v>122190</v>
      </c>
      <c r="I41" s="188">
        <v>886</v>
      </c>
      <c r="J41" s="188">
        <v>186</v>
      </c>
      <c r="K41" s="188">
        <v>39344</v>
      </c>
      <c r="L41" s="188">
        <v>229971</v>
      </c>
      <c r="M41" s="188">
        <v>269315</v>
      </c>
      <c r="N41" s="188">
        <v>264</v>
      </c>
      <c r="O41" s="188">
        <v>129</v>
      </c>
      <c r="P41" s="188">
        <v>2187</v>
      </c>
      <c r="Q41" s="188">
        <v>877</v>
      </c>
      <c r="R41" s="188">
        <v>2451</v>
      </c>
      <c r="S41" s="188">
        <v>1006</v>
      </c>
      <c r="T41" s="188">
        <v>10</v>
      </c>
      <c r="U41" s="188">
        <v>236</v>
      </c>
      <c r="V41" s="188">
        <v>246</v>
      </c>
      <c r="W41" s="189" t="s">
        <v>125</v>
      </c>
      <c r="X41" s="189" t="s">
        <v>125</v>
      </c>
      <c r="Y41" s="189" t="s">
        <v>125</v>
      </c>
      <c r="Z41" s="188">
        <v>130019</v>
      </c>
      <c r="AA41" s="188">
        <v>130019</v>
      </c>
      <c r="AB41" s="188">
        <v>0</v>
      </c>
      <c r="AC41" s="188">
        <v>36057093</v>
      </c>
      <c r="AD41" s="188">
        <v>130738</v>
      </c>
      <c r="AE41" s="190">
        <v>36187831</v>
      </c>
      <c r="AY41" s="192"/>
      <c r="AZ41" s="192"/>
    </row>
    <row r="42" spans="1:52" s="191" customFormat="1" ht="15" customHeight="1">
      <c r="A42" s="187" t="s">
        <v>158</v>
      </c>
      <c r="B42" s="188">
        <v>13915</v>
      </c>
      <c r="C42" s="188">
        <v>615</v>
      </c>
      <c r="D42" s="188">
        <v>7</v>
      </c>
      <c r="E42" s="188">
        <v>83273</v>
      </c>
      <c r="F42" s="188">
        <v>1113</v>
      </c>
      <c r="G42" s="188">
        <v>583</v>
      </c>
      <c r="H42" s="188">
        <v>97188</v>
      </c>
      <c r="I42" s="188">
        <v>1728</v>
      </c>
      <c r="J42" s="188">
        <v>590</v>
      </c>
      <c r="K42" s="188">
        <v>36292</v>
      </c>
      <c r="L42" s="188">
        <v>164794</v>
      </c>
      <c r="M42" s="188">
        <v>201086</v>
      </c>
      <c r="N42" s="188">
        <v>1464</v>
      </c>
      <c r="O42" s="188">
        <v>1026</v>
      </c>
      <c r="P42" s="188">
        <v>2598</v>
      </c>
      <c r="Q42" s="188">
        <v>1634</v>
      </c>
      <c r="R42" s="188">
        <v>4062</v>
      </c>
      <c r="S42" s="188">
        <v>2660</v>
      </c>
      <c r="T42" s="188">
        <v>11</v>
      </c>
      <c r="U42" s="188">
        <v>773</v>
      </c>
      <c r="V42" s="188">
        <v>784</v>
      </c>
      <c r="W42" s="189" t="s">
        <v>125</v>
      </c>
      <c r="X42" s="189" t="s">
        <v>125</v>
      </c>
      <c r="Y42" s="189" t="s">
        <v>125</v>
      </c>
      <c r="Z42" s="188">
        <v>114581</v>
      </c>
      <c r="AA42" s="188">
        <v>114581</v>
      </c>
      <c r="AB42" s="188">
        <v>0</v>
      </c>
      <c r="AC42" s="188">
        <v>28963442</v>
      </c>
      <c r="AD42" s="188">
        <v>394749</v>
      </c>
      <c r="AE42" s="190">
        <v>29358191</v>
      </c>
      <c r="AY42" s="192"/>
      <c r="AZ42" s="192"/>
    </row>
    <row r="43" spans="1:52" s="191" customFormat="1" ht="15" customHeight="1">
      <c r="A43" s="187" t="s">
        <v>159</v>
      </c>
      <c r="B43" s="188">
        <v>265</v>
      </c>
      <c r="C43" s="188">
        <v>1</v>
      </c>
      <c r="D43" s="188">
        <v>0</v>
      </c>
      <c r="E43" s="188">
        <v>2070</v>
      </c>
      <c r="F43" s="188">
        <v>19</v>
      </c>
      <c r="G43" s="188">
        <v>1</v>
      </c>
      <c r="H43" s="188">
        <v>2335</v>
      </c>
      <c r="I43" s="188">
        <v>20</v>
      </c>
      <c r="J43" s="188">
        <v>1</v>
      </c>
      <c r="K43" s="188">
        <v>731</v>
      </c>
      <c r="L43" s="188">
        <v>4466</v>
      </c>
      <c r="M43" s="188">
        <v>5197</v>
      </c>
      <c r="N43" s="188">
        <v>5</v>
      </c>
      <c r="O43" s="188">
        <v>1</v>
      </c>
      <c r="P43" s="188">
        <v>55</v>
      </c>
      <c r="Q43" s="188">
        <v>21</v>
      </c>
      <c r="R43" s="188">
        <v>60</v>
      </c>
      <c r="S43" s="188">
        <v>22</v>
      </c>
      <c r="T43" s="188">
        <v>0</v>
      </c>
      <c r="U43" s="188">
        <v>1</v>
      </c>
      <c r="V43" s="188">
        <v>1</v>
      </c>
      <c r="W43" s="189" t="s">
        <v>125</v>
      </c>
      <c r="X43" s="189" t="s">
        <v>125</v>
      </c>
      <c r="Y43" s="189" t="s">
        <v>125</v>
      </c>
      <c r="Z43" s="188">
        <v>2492</v>
      </c>
      <c r="AA43" s="188">
        <v>2492</v>
      </c>
      <c r="AB43" s="188">
        <v>0</v>
      </c>
      <c r="AC43" s="188">
        <v>680323</v>
      </c>
      <c r="AD43" s="188">
        <v>2007</v>
      </c>
      <c r="AE43" s="190">
        <v>682330</v>
      </c>
      <c r="AY43" s="192"/>
      <c r="AZ43" s="192"/>
    </row>
    <row r="44" spans="1:52" s="191" customFormat="1" ht="15" customHeight="1">
      <c r="A44" s="187" t="s">
        <v>160</v>
      </c>
      <c r="B44" s="188">
        <v>23479</v>
      </c>
      <c r="C44" s="188">
        <v>143</v>
      </c>
      <c r="D44" s="188">
        <v>7</v>
      </c>
      <c r="E44" s="188">
        <v>143565</v>
      </c>
      <c r="F44" s="188">
        <v>908</v>
      </c>
      <c r="G44" s="188">
        <v>335</v>
      </c>
      <c r="H44" s="188">
        <v>167044</v>
      </c>
      <c r="I44" s="188">
        <v>1051</v>
      </c>
      <c r="J44" s="188">
        <v>342</v>
      </c>
      <c r="K44" s="188">
        <v>61975</v>
      </c>
      <c r="L44" s="188">
        <v>301431</v>
      </c>
      <c r="M44" s="188">
        <v>363406</v>
      </c>
      <c r="N44" s="188">
        <v>360</v>
      </c>
      <c r="O44" s="188">
        <v>165</v>
      </c>
      <c r="P44" s="188">
        <v>2384</v>
      </c>
      <c r="Q44" s="188">
        <v>1077</v>
      </c>
      <c r="R44" s="188">
        <v>2744</v>
      </c>
      <c r="S44" s="188">
        <v>1242</v>
      </c>
      <c r="T44" s="188">
        <v>11</v>
      </c>
      <c r="U44" s="188">
        <v>450</v>
      </c>
      <c r="V44" s="188">
        <v>461</v>
      </c>
      <c r="W44" s="189" t="s">
        <v>125</v>
      </c>
      <c r="X44" s="189" t="s">
        <v>125</v>
      </c>
      <c r="Y44" s="189" t="s">
        <v>125</v>
      </c>
      <c r="Z44" s="188">
        <v>177171</v>
      </c>
      <c r="AA44" s="188">
        <v>177171</v>
      </c>
      <c r="AB44" s="188">
        <v>0</v>
      </c>
      <c r="AC44" s="188">
        <v>49578309</v>
      </c>
      <c r="AD44" s="188">
        <v>185142</v>
      </c>
      <c r="AE44" s="190">
        <v>49763451</v>
      </c>
      <c r="AY44" s="192"/>
      <c r="AZ44" s="192"/>
    </row>
    <row r="45" spans="1:52" s="191" customFormat="1" ht="15" customHeight="1">
      <c r="A45" s="187" t="s">
        <v>161</v>
      </c>
      <c r="B45" s="188">
        <v>12136</v>
      </c>
      <c r="C45" s="188">
        <v>308</v>
      </c>
      <c r="D45" s="188">
        <v>7</v>
      </c>
      <c r="E45" s="188">
        <v>120540</v>
      </c>
      <c r="F45" s="188">
        <v>1717</v>
      </c>
      <c r="G45" s="188">
        <v>738</v>
      </c>
      <c r="H45" s="188">
        <v>132676</v>
      </c>
      <c r="I45" s="188">
        <v>2025</v>
      </c>
      <c r="J45" s="188">
        <v>745</v>
      </c>
      <c r="K45" s="188">
        <v>33478</v>
      </c>
      <c r="L45" s="188">
        <v>231500</v>
      </c>
      <c r="M45" s="188">
        <v>264978</v>
      </c>
      <c r="N45" s="188">
        <v>672</v>
      </c>
      <c r="O45" s="188">
        <v>412</v>
      </c>
      <c r="P45" s="188">
        <v>4086</v>
      </c>
      <c r="Q45" s="188">
        <v>1991</v>
      </c>
      <c r="R45" s="188">
        <v>4758</v>
      </c>
      <c r="S45" s="188">
        <v>2403</v>
      </c>
      <c r="T45" s="188">
        <v>15</v>
      </c>
      <c r="U45" s="188">
        <v>930</v>
      </c>
      <c r="V45" s="188">
        <v>945</v>
      </c>
      <c r="W45" s="189" t="s">
        <v>125</v>
      </c>
      <c r="X45" s="189" t="s">
        <v>125</v>
      </c>
      <c r="Y45" s="189" t="s">
        <v>125</v>
      </c>
      <c r="Z45" s="188">
        <v>160086</v>
      </c>
      <c r="AA45" s="188">
        <v>160086</v>
      </c>
      <c r="AB45" s="188">
        <v>0</v>
      </c>
      <c r="AC45" s="188">
        <v>35960037</v>
      </c>
      <c r="AD45" s="188">
        <v>359143</v>
      </c>
      <c r="AE45" s="190">
        <v>36319180</v>
      </c>
      <c r="AY45" s="192"/>
      <c r="AZ45" s="192"/>
    </row>
    <row r="46" spans="1:52" s="191" customFormat="1" ht="15" customHeight="1">
      <c r="A46" s="187" t="s">
        <v>162</v>
      </c>
      <c r="B46" s="188">
        <v>1932</v>
      </c>
      <c r="C46" s="188">
        <v>106</v>
      </c>
      <c r="D46" s="188">
        <v>7</v>
      </c>
      <c r="E46" s="188">
        <v>30092</v>
      </c>
      <c r="F46" s="188">
        <v>769</v>
      </c>
      <c r="G46" s="188">
        <v>1138</v>
      </c>
      <c r="H46" s="188">
        <v>32024</v>
      </c>
      <c r="I46" s="188">
        <v>875</v>
      </c>
      <c r="J46" s="188">
        <v>1145</v>
      </c>
      <c r="K46" s="188">
        <v>4112</v>
      </c>
      <c r="L46" s="188">
        <v>43094</v>
      </c>
      <c r="M46" s="188">
        <v>47206</v>
      </c>
      <c r="N46" s="188">
        <v>192</v>
      </c>
      <c r="O46" s="188">
        <v>124</v>
      </c>
      <c r="P46" s="188">
        <v>1436</v>
      </c>
      <c r="Q46" s="188">
        <v>975</v>
      </c>
      <c r="R46" s="188">
        <v>1628</v>
      </c>
      <c r="S46" s="188">
        <v>1099</v>
      </c>
      <c r="T46" s="188">
        <v>13</v>
      </c>
      <c r="U46" s="188">
        <v>1203</v>
      </c>
      <c r="V46" s="188">
        <v>1216</v>
      </c>
      <c r="W46" s="189" t="s">
        <v>125</v>
      </c>
      <c r="X46" s="189" t="s">
        <v>125</v>
      </c>
      <c r="Y46" s="189" t="s">
        <v>125</v>
      </c>
      <c r="Z46" s="188">
        <v>37121</v>
      </c>
      <c r="AA46" s="188">
        <v>37121</v>
      </c>
      <c r="AB46" s="188">
        <v>0</v>
      </c>
      <c r="AC46" s="188">
        <v>7024131</v>
      </c>
      <c r="AD46" s="188">
        <v>295580</v>
      </c>
      <c r="AE46" s="190">
        <v>7319711</v>
      </c>
      <c r="AY46" s="192"/>
      <c r="AZ46" s="192"/>
    </row>
    <row r="47" spans="1:52" s="191" customFormat="1" ht="15" customHeight="1">
      <c r="A47" s="187" t="s">
        <v>163</v>
      </c>
      <c r="B47" s="188">
        <v>6811</v>
      </c>
      <c r="C47" s="188">
        <v>57</v>
      </c>
      <c r="D47" s="188">
        <v>1</v>
      </c>
      <c r="E47" s="188">
        <v>41814</v>
      </c>
      <c r="F47" s="188">
        <v>425</v>
      </c>
      <c r="G47" s="188">
        <v>151</v>
      </c>
      <c r="H47" s="188">
        <v>48625</v>
      </c>
      <c r="I47" s="188">
        <v>482</v>
      </c>
      <c r="J47" s="188">
        <v>152</v>
      </c>
      <c r="K47" s="188">
        <v>16765</v>
      </c>
      <c r="L47" s="188">
        <v>90870</v>
      </c>
      <c r="M47" s="188">
        <v>107635</v>
      </c>
      <c r="N47" s="188">
        <v>137</v>
      </c>
      <c r="O47" s="188">
        <v>69</v>
      </c>
      <c r="P47" s="188">
        <v>1210</v>
      </c>
      <c r="Q47" s="188">
        <v>519</v>
      </c>
      <c r="R47" s="188">
        <v>1347</v>
      </c>
      <c r="S47" s="188">
        <v>588</v>
      </c>
      <c r="T47" s="188">
        <v>1</v>
      </c>
      <c r="U47" s="188">
        <v>214</v>
      </c>
      <c r="V47" s="188">
        <v>215</v>
      </c>
      <c r="W47" s="189" t="s">
        <v>125</v>
      </c>
      <c r="X47" s="189" t="s">
        <v>125</v>
      </c>
      <c r="Y47" s="189" t="s">
        <v>125</v>
      </c>
      <c r="Z47" s="188">
        <v>51748</v>
      </c>
      <c r="AA47" s="188">
        <v>51748</v>
      </c>
      <c r="AB47" s="188">
        <v>0</v>
      </c>
      <c r="AC47" s="188">
        <v>14436513</v>
      </c>
      <c r="AD47" s="188">
        <v>90726</v>
      </c>
      <c r="AE47" s="190">
        <v>14527239</v>
      </c>
      <c r="AY47" s="192"/>
      <c r="AZ47" s="192"/>
    </row>
    <row r="48" spans="1:52" s="191" customFormat="1" ht="15" customHeight="1">
      <c r="A48" s="187" t="s">
        <v>164</v>
      </c>
      <c r="B48" s="188">
        <v>872</v>
      </c>
      <c r="C48" s="188">
        <v>5</v>
      </c>
      <c r="D48" s="188">
        <v>0</v>
      </c>
      <c r="E48" s="188">
        <v>8774</v>
      </c>
      <c r="F48" s="188">
        <v>36</v>
      </c>
      <c r="G48" s="188">
        <v>7</v>
      </c>
      <c r="H48" s="188">
        <v>9646</v>
      </c>
      <c r="I48" s="188">
        <v>41</v>
      </c>
      <c r="J48" s="188">
        <v>7</v>
      </c>
      <c r="K48" s="188">
        <v>2144</v>
      </c>
      <c r="L48" s="188">
        <v>15037</v>
      </c>
      <c r="M48" s="188">
        <v>17181</v>
      </c>
      <c r="N48" s="188">
        <v>8</v>
      </c>
      <c r="O48" s="188">
        <v>6</v>
      </c>
      <c r="P48" s="188">
        <v>106</v>
      </c>
      <c r="Q48" s="188">
        <v>43</v>
      </c>
      <c r="R48" s="188">
        <v>114</v>
      </c>
      <c r="S48" s="188">
        <v>49</v>
      </c>
      <c r="T48" s="188">
        <v>0</v>
      </c>
      <c r="U48" s="188">
        <v>8</v>
      </c>
      <c r="V48" s="188">
        <v>8</v>
      </c>
      <c r="W48" s="189" t="s">
        <v>125</v>
      </c>
      <c r="X48" s="189" t="s">
        <v>125</v>
      </c>
      <c r="Y48" s="189" t="s">
        <v>125</v>
      </c>
      <c r="Z48" s="188">
        <v>10361</v>
      </c>
      <c r="AA48" s="188">
        <v>10361</v>
      </c>
      <c r="AB48" s="188">
        <v>0</v>
      </c>
      <c r="AC48" s="188">
        <v>2339023</v>
      </c>
      <c r="AD48" s="188">
        <v>4702</v>
      </c>
      <c r="AE48" s="190">
        <v>2343725</v>
      </c>
      <c r="AY48" s="192"/>
      <c r="AZ48" s="192"/>
    </row>
    <row r="49" spans="1:52" s="191" customFormat="1" ht="15" customHeight="1">
      <c r="A49" s="187" t="s">
        <v>165</v>
      </c>
      <c r="B49" s="188">
        <v>720</v>
      </c>
      <c r="C49" s="188">
        <v>25</v>
      </c>
      <c r="D49" s="188">
        <v>0</v>
      </c>
      <c r="E49" s="188">
        <v>12721</v>
      </c>
      <c r="F49" s="188">
        <v>411</v>
      </c>
      <c r="G49" s="188">
        <v>150</v>
      </c>
      <c r="H49" s="188">
        <v>13441</v>
      </c>
      <c r="I49" s="188">
        <v>436</v>
      </c>
      <c r="J49" s="188">
        <v>150</v>
      </c>
      <c r="K49" s="188">
        <v>1691</v>
      </c>
      <c r="L49" s="188">
        <v>23617</v>
      </c>
      <c r="M49" s="188">
        <v>25308</v>
      </c>
      <c r="N49" s="188">
        <v>56</v>
      </c>
      <c r="O49" s="188">
        <v>26</v>
      </c>
      <c r="P49" s="188">
        <v>978</v>
      </c>
      <c r="Q49" s="188">
        <v>497</v>
      </c>
      <c r="R49" s="188">
        <v>1034</v>
      </c>
      <c r="S49" s="188">
        <v>523</v>
      </c>
      <c r="T49" s="188">
        <v>0</v>
      </c>
      <c r="U49" s="188">
        <v>198</v>
      </c>
      <c r="V49" s="188">
        <v>198</v>
      </c>
      <c r="W49" s="189" t="s">
        <v>125</v>
      </c>
      <c r="X49" s="189" t="s">
        <v>125</v>
      </c>
      <c r="Y49" s="189" t="s">
        <v>125</v>
      </c>
      <c r="Z49" s="188">
        <v>16195</v>
      </c>
      <c r="AA49" s="188">
        <v>16195</v>
      </c>
      <c r="AB49" s="188">
        <v>0</v>
      </c>
      <c r="AC49" s="188">
        <v>3438984</v>
      </c>
      <c r="AD49" s="188">
        <v>64033</v>
      </c>
      <c r="AE49" s="190">
        <v>3503017</v>
      </c>
      <c r="AY49" s="192"/>
      <c r="AZ49" s="192"/>
    </row>
    <row r="50" spans="1:52" s="191" customFormat="1" ht="15" customHeight="1">
      <c r="A50" s="187" t="s">
        <v>166</v>
      </c>
      <c r="B50" s="188">
        <v>2528</v>
      </c>
      <c r="C50" s="188">
        <v>20</v>
      </c>
      <c r="D50" s="188">
        <v>0</v>
      </c>
      <c r="E50" s="188">
        <v>16766</v>
      </c>
      <c r="F50" s="188">
        <v>127</v>
      </c>
      <c r="G50" s="188">
        <v>61</v>
      </c>
      <c r="H50" s="188">
        <v>19294</v>
      </c>
      <c r="I50" s="188">
        <v>147</v>
      </c>
      <c r="J50" s="188">
        <v>61</v>
      </c>
      <c r="K50" s="188">
        <v>6473</v>
      </c>
      <c r="L50" s="188">
        <v>33158</v>
      </c>
      <c r="M50" s="188">
        <v>39631</v>
      </c>
      <c r="N50" s="188">
        <v>52</v>
      </c>
      <c r="O50" s="188">
        <v>22</v>
      </c>
      <c r="P50" s="188">
        <v>354</v>
      </c>
      <c r="Q50" s="188">
        <v>142</v>
      </c>
      <c r="R50" s="188">
        <v>406</v>
      </c>
      <c r="S50" s="188">
        <v>164</v>
      </c>
      <c r="T50" s="188">
        <v>0</v>
      </c>
      <c r="U50" s="188">
        <v>74</v>
      </c>
      <c r="V50" s="188">
        <v>74</v>
      </c>
      <c r="W50" s="189" t="s">
        <v>125</v>
      </c>
      <c r="X50" s="189" t="s">
        <v>125</v>
      </c>
      <c r="Y50" s="189" t="s">
        <v>125</v>
      </c>
      <c r="Z50" s="188">
        <v>23056</v>
      </c>
      <c r="AA50" s="188">
        <v>23056</v>
      </c>
      <c r="AB50" s="188">
        <v>0</v>
      </c>
      <c r="AC50" s="188">
        <v>5523776</v>
      </c>
      <c r="AD50" s="188">
        <v>27004</v>
      </c>
      <c r="AE50" s="190">
        <v>5550780</v>
      </c>
      <c r="AY50" s="192"/>
      <c r="AZ50" s="192"/>
    </row>
    <row r="51" spans="1:52" s="191" customFormat="1" ht="15" customHeight="1">
      <c r="A51" s="187" t="s">
        <v>167</v>
      </c>
      <c r="B51" s="188">
        <v>3971</v>
      </c>
      <c r="C51" s="188">
        <v>101</v>
      </c>
      <c r="D51" s="188">
        <v>2</v>
      </c>
      <c r="E51" s="188">
        <v>43202</v>
      </c>
      <c r="F51" s="188">
        <v>816</v>
      </c>
      <c r="G51" s="188">
        <v>612</v>
      </c>
      <c r="H51" s="188">
        <v>47173</v>
      </c>
      <c r="I51" s="188">
        <v>917</v>
      </c>
      <c r="J51" s="188">
        <v>614</v>
      </c>
      <c r="K51" s="188">
        <v>9560</v>
      </c>
      <c r="L51" s="188">
        <v>81543</v>
      </c>
      <c r="M51" s="188">
        <v>91103</v>
      </c>
      <c r="N51" s="188">
        <v>226</v>
      </c>
      <c r="O51" s="188">
        <v>128</v>
      </c>
      <c r="P51" s="188">
        <v>1772</v>
      </c>
      <c r="Q51" s="188">
        <v>1045</v>
      </c>
      <c r="R51" s="188">
        <v>1998</v>
      </c>
      <c r="S51" s="188">
        <v>1173</v>
      </c>
      <c r="T51" s="188">
        <v>2</v>
      </c>
      <c r="U51" s="188">
        <v>886</v>
      </c>
      <c r="V51" s="188">
        <v>888</v>
      </c>
      <c r="W51" s="189" t="s">
        <v>125</v>
      </c>
      <c r="X51" s="189" t="s">
        <v>125</v>
      </c>
      <c r="Y51" s="189" t="s">
        <v>125</v>
      </c>
      <c r="Z51" s="188">
        <v>51028</v>
      </c>
      <c r="AA51" s="188">
        <v>51028</v>
      </c>
      <c r="AB51" s="188">
        <v>0</v>
      </c>
      <c r="AC51" s="188">
        <v>12579326</v>
      </c>
      <c r="AD51" s="188">
        <v>228927</v>
      </c>
      <c r="AE51" s="190">
        <v>12808253</v>
      </c>
      <c r="AY51" s="192"/>
      <c r="AZ51" s="192"/>
    </row>
    <row r="52" spans="1:52" s="191" customFormat="1" ht="15" customHeight="1">
      <c r="A52" s="187" t="s">
        <v>168</v>
      </c>
      <c r="B52" s="188">
        <v>1110</v>
      </c>
      <c r="C52" s="188">
        <v>5</v>
      </c>
      <c r="D52" s="188">
        <v>0</v>
      </c>
      <c r="E52" s="188">
        <v>13768</v>
      </c>
      <c r="F52" s="188">
        <v>45</v>
      </c>
      <c r="G52" s="188">
        <v>11</v>
      </c>
      <c r="H52" s="188">
        <v>14878</v>
      </c>
      <c r="I52" s="188">
        <v>50</v>
      </c>
      <c r="J52" s="188">
        <v>11</v>
      </c>
      <c r="K52" s="188">
        <v>2765</v>
      </c>
      <c r="L52" s="188">
        <v>24215</v>
      </c>
      <c r="M52" s="188">
        <v>26980</v>
      </c>
      <c r="N52" s="188">
        <v>13</v>
      </c>
      <c r="O52" s="188">
        <v>5</v>
      </c>
      <c r="P52" s="188">
        <v>115</v>
      </c>
      <c r="Q52" s="188">
        <v>51</v>
      </c>
      <c r="R52" s="188">
        <v>128</v>
      </c>
      <c r="S52" s="188">
        <v>56</v>
      </c>
      <c r="T52" s="188">
        <v>0</v>
      </c>
      <c r="U52" s="188">
        <v>13</v>
      </c>
      <c r="V52" s="188">
        <v>13</v>
      </c>
      <c r="W52" s="189" t="s">
        <v>125</v>
      </c>
      <c r="X52" s="189" t="s">
        <v>125</v>
      </c>
      <c r="Y52" s="189" t="s">
        <v>125</v>
      </c>
      <c r="Z52" s="188">
        <v>17224</v>
      </c>
      <c r="AA52" s="188">
        <v>17224</v>
      </c>
      <c r="AB52" s="188">
        <v>0</v>
      </c>
      <c r="AC52" s="188">
        <v>3731769</v>
      </c>
      <c r="AD52" s="188">
        <v>7082</v>
      </c>
      <c r="AE52" s="190">
        <v>3738851</v>
      </c>
      <c r="AY52" s="192"/>
      <c r="AZ52" s="192"/>
    </row>
    <row r="53" spans="1:52" s="191" customFormat="1" ht="15" customHeight="1">
      <c r="A53" s="187" t="s">
        <v>169</v>
      </c>
      <c r="B53" s="188">
        <v>1216</v>
      </c>
      <c r="C53" s="188">
        <v>4</v>
      </c>
      <c r="D53" s="188">
        <v>0</v>
      </c>
      <c r="E53" s="188">
        <v>11309</v>
      </c>
      <c r="F53" s="188">
        <v>25</v>
      </c>
      <c r="G53" s="188">
        <v>18</v>
      </c>
      <c r="H53" s="188">
        <v>12525</v>
      </c>
      <c r="I53" s="188">
        <v>29</v>
      </c>
      <c r="J53" s="188">
        <v>18</v>
      </c>
      <c r="K53" s="188">
        <v>2918</v>
      </c>
      <c r="L53" s="188">
        <v>20520</v>
      </c>
      <c r="M53" s="188">
        <v>23438</v>
      </c>
      <c r="N53" s="188">
        <v>12</v>
      </c>
      <c r="O53" s="188">
        <v>4</v>
      </c>
      <c r="P53" s="188">
        <v>63</v>
      </c>
      <c r="Q53" s="188">
        <v>27</v>
      </c>
      <c r="R53" s="188">
        <v>75</v>
      </c>
      <c r="S53" s="188">
        <v>31</v>
      </c>
      <c r="T53" s="188">
        <v>0</v>
      </c>
      <c r="U53" s="188">
        <v>20</v>
      </c>
      <c r="V53" s="188">
        <v>20</v>
      </c>
      <c r="W53" s="189" t="s">
        <v>125</v>
      </c>
      <c r="X53" s="189" t="s">
        <v>125</v>
      </c>
      <c r="Y53" s="189" t="s">
        <v>125</v>
      </c>
      <c r="Z53" s="188">
        <v>13539</v>
      </c>
      <c r="AA53" s="188">
        <v>13539</v>
      </c>
      <c r="AB53" s="188">
        <v>0</v>
      </c>
      <c r="AC53" s="188">
        <v>3109943</v>
      </c>
      <c r="AD53" s="188">
        <v>5475</v>
      </c>
      <c r="AE53" s="190">
        <v>3115418</v>
      </c>
      <c r="AY53" s="192"/>
      <c r="AZ53" s="192"/>
    </row>
    <row r="54" spans="1:52" s="191" customFormat="1" ht="15" customHeight="1">
      <c r="A54" s="187" t="s">
        <v>170</v>
      </c>
      <c r="B54" s="188">
        <v>11</v>
      </c>
      <c r="C54" s="188">
        <v>0</v>
      </c>
      <c r="D54" s="188">
        <v>0</v>
      </c>
      <c r="E54" s="188">
        <v>154</v>
      </c>
      <c r="F54" s="188">
        <v>0</v>
      </c>
      <c r="G54" s="188">
        <v>0</v>
      </c>
      <c r="H54" s="188">
        <v>165</v>
      </c>
      <c r="I54" s="188">
        <v>0</v>
      </c>
      <c r="J54" s="188">
        <v>0</v>
      </c>
      <c r="K54" s="188">
        <v>30</v>
      </c>
      <c r="L54" s="188">
        <v>254</v>
      </c>
      <c r="M54" s="188">
        <v>284</v>
      </c>
      <c r="N54" s="188">
        <v>0</v>
      </c>
      <c r="O54" s="188">
        <v>0</v>
      </c>
      <c r="P54" s="188">
        <v>0</v>
      </c>
      <c r="Q54" s="188">
        <v>0</v>
      </c>
      <c r="R54" s="188">
        <v>0</v>
      </c>
      <c r="S54" s="188">
        <v>0</v>
      </c>
      <c r="T54" s="188">
        <v>0</v>
      </c>
      <c r="U54" s="188">
        <v>0</v>
      </c>
      <c r="V54" s="188">
        <v>0</v>
      </c>
      <c r="W54" s="189" t="s">
        <v>125</v>
      </c>
      <c r="X54" s="189" t="s">
        <v>125</v>
      </c>
      <c r="Y54" s="189" t="s">
        <v>125</v>
      </c>
      <c r="Z54" s="188">
        <v>179</v>
      </c>
      <c r="AA54" s="188">
        <v>179</v>
      </c>
      <c r="AB54" s="188">
        <v>0</v>
      </c>
      <c r="AC54" s="188">
        <v>37227</v>
      </c>
      <c r="AD54" s="188">
        <v>0</v>
      </c>
      <c r="AE54" s="190">
        <v>37227</v>
      </c>
      <c r="AY54" s="192"/>
      <c r="AZ54" s="192"/>
    </row>
    <row r="55" spans="1:52" s="191" customFormat="1" ht="15" customHeight="1">
      <c r="A55" s="187" t="s">
        <v>171</v>
      </c>
      <c r="B55" s="188">
        <v>373</v>
      </c>
      <c r="C55" s="188">
        <v>1</v>
      </c>
      <c r="D55" s="188">
        <v>0</v>
      </c>
      <c r="E55" s="188">
        <v>2781</v>
      </c>
      <c r="F55" s="188">
        <v>9</v>
      </c>
      <c r="G55" s="188">
        <v>2</v>
      </c>
      <c r="H55" s="188">
        <v>3154</v>
      </c>
      <c r="I55" s="188">
        <v>10</v>
      </c>
      <c r="J55" s="188">
        <v>2</v>
      </c>
      <c r="K55" s="188">
        <v>988</v>
      </c>
      <c r="L55" s="188">
        <v>5624</v>
      </c>
      <c r="M55" s="188">
        <v>6612</v>
      </c>
      <c r="N55" s="188">
        <v>2</v>
      </c>
      <c r="O55" s="188">
        <v>1</v>
      </c>
      <c r="P55" s="188">
        <v>30</v>
      </c>
      <c r="Q55" s="188">
        <v>11</v>
      </c>
      <c r="R55" s="188">
        <v>32</v>
      </c>
      <c r="S55" s="188">
        <v>12</v>
      </c>
      <c r="T55" s="188">
        <v>0</v>
      </c>
      <c r="U55" s="188">
        <v>3</v>
      </c>
      <c r="V55" s="188">
        <v>3</v>
      </c>
      <c r="W55" s="189" t="s">
        <v>125</v>
      </c>
      <c r="X55" s="189" t="s">
        <v>125</v>
      </c>
      <c r="Y55" s="189" t="s">
        <v>125</v>
      </c>
      <c r="Z55" s="188">
        <v>3419</v>
      </c>
      <c r="AA55" s="188">
        <v>3419</v>
      </c>
      <c r="AB55" s="188">
        <v>0</v>
      </c>
      <c r="AC55" s="188">
        <v>890348</v>
      </c>
      <c r="AD55" s="188">
        <v>1222</v>
      </c>
      <c r="AE55" s="190">
        <v>891570</v>
      </c>
      <c r="AY55" s="192"/>
      <c r="AZ55" s="192"/>
    </row>
    <row r="56" spans="1:52" s="191" customFormat="1" ht="15" customHeight="1">
      <c r="A56" s="187" t="s">
        <v>172</v>
      </c>
      <c r="B56" s="188">
        <v>2454</v>
      </c>
      <c r="C56" s="188">
        <v>22</v>
      </c>
      <c r="D56" s="188">
        <v>0</v>
      </c>
      <c r="E56" s="188">
        <v>18696</v>
      </c>
      <c r="F56" s="188">
        <v>148</v>
      </c>
      <c r="G56" s="188">
        <v>64</v>
      </c>
      <c r="H56" s="188">
        <v>21150</v>
      </c>
      <c r="I56" s="188">
        <v>170</v>
      </c>
      <c r="J56" s="188">
        <v>64</v>
      </c>
      <c r="K56" s="188">
        <v>5854</v>
      </c>
      <c r="L56" s="188">
        <v>33690</v>
      </c>
      <c r="M56" s="188">
        <v>39544</v>
      </c>
      <c r="N56" s="188">
        <v>57</v>
      </c>
      <c r="O56" s="188">
        <v>25</v>
      </c>
      <c r="P56" s="188">
        <v>349</v>
      </c>
      <c r="Q56" s="188">
        <v>170</v>
      </c>
      <c r="R56" s="188">
        <v>406</v>
      </c>
      <c r="S56" s="188">
        <v>195</v>
      </c>
      <c r="T56" s="188">
        <v>0</v>
      </c>
      <c r="U56" s="188">
        <v>90</v>
      </c>
      <c r="V56" s="188">
        <v>90</v>
      </c>
      <c r="W56" s="189" t="s">
        <v>125</v>
      </c>
      <c r="X56" s="189" t="s">
        <v>125</v>
      </c>
      <c r="Y56" s="189" t="s">
        <v>125</v>
      </c>
      <c r="Z56" s="188">
        <v>22724</v>
      </c>
      <c r="AA56" s="188">
        <v>22724</v>
      </c>
      <c r="AB56" s="188">
        <v>0</v>
      </c>
      <c r="AC56" s="188">
        <v>5598884</v>
      </c>
      <c r="AD56" s="188">
        <v>33447</v>
      </c>
      <c r="AE56" s="190">
        <v>5632331</v>
      </c>
      <c r="AY56" s="192"/>
      <c r="AZ56" s="192"/>
    </row>
    <row r="57" spans="1:52" s="191" customFormat="1" ht="15" customHeight="1">
      <c r="A57" s="187" t="s">
        <v>173</v>
      </c>
      <c r="B57" s="188">
        <v>1336</v>
      </c>
      <c r="C57" s="188">
        <v>40</v>
      </c>
      <c r="D57" s="188">
        <v>0</v>
      </c>
      <c r="E57" s="188">
        <v>15924</v>
      </c>
      <c r="F57" s="188">
        <v>226</v>
      </c>
      <c r="G57" s="188">
        <v>48</v>
      </c>
      <c r="H57" s="188">
        <v>17260</v>
      </c>
      <c r="I57" s="188">
        <v>266</v>
      </c>
      <c r="J57" s="188">
        <v>48</v>
      </c>
      <c r="K57" s="188">
        <v>3232</v>
      </c>
      <c r="L57" s="188">
        <v>26805</v>
      </c>
      <c r="M57" s="188">
        <v>30037</v>
      </c>
      <c r="N57" s="188">
        <v>99</v>
      </c>
      <c r="O57" s="188">
        <v>47</v>
      </c>
      <c r="P57" s="188">
        <v>556</v>
      </c>
      <c r="Q57" s="188">
        <v>248</v>
      </c>
      <c r="R57" s="188">
        <v>655</v>
      </c>
      <c r="S57" s="188">
        <v>295</v>
      </c>
      <c r="T57" s="188">
        <v>0</v>
      </c>
      <c r="U57" s="188">
        <v>65</v>
      </c>
      <c r="V57" s="188">
        <v>65</v>
      </c>
      <c r="W57" s="189" t="s">
        <v>125</v>
      </c>
      <c r="X57" s="189" t="s">
        <v>125</v>
      </c>
      <c r="Y57" s="189" t="s">
        <v>125</v>
      </c>
      <c r="Z57" s="188">
        <v>20022</v>
      </c>
      <c r="AA57" s="188">
        <v>20022</v>
      </c>
      <c r="AB57" s="188">
        <v>0</v>
      </c>
      <c r="AC57" s="188">
        <v>4112348</v>
      </c>
      <c r="AD57" s="188">
        <v>32861</v>
      </c>
      <c r="AE57" s="190">
        <v>4145209</v>
      </c>
      <c r="AY57" s="192"/>
      <c r="AZ57" s="192"/>
    </row>
    <row r="58" spans="1:52" s="191" customFormat="1" ht="15" customHeight="1">
      <c r="A58" s="187" t="s">
        <v>174</v>
      </c>
      <c r="B58" s="188">
        <v>5301</v>
      </c>
      <c r="C58" s="188">
        <v>38</v>
      </c>
      <c r="D58" s="188">
        <v>1</v>
      </c>
      <c r="E58" s="188">
        <v>34586</v>
      </c>
      <c r="F58" s="188">
        <v>174</v>
      </c>
      <c r="G58" s="188">
        <v>26</v>
      </c>
      <c r="H58" s="188">
        <v>39887</v>
      </c>
      <c r="I58" s="188">
        <v>212</v>
      </c>
      <c r="J58" s="188">
        <v>27</v>
      </c>
      <c r="K58" s="188">
        <v>13785</v>
      </c>
      <c r="L58" s="188">
        <v>69616</v>
      </c>
      <c r="M58" s="188">
        <v>83401</v>
      </c>
      <c r="N58" s="188">
        <v>105</v>
      </c>
      <c r="O58" s="188">
        <v>44</v>
      </c>
      <c r="P58" s="188">
        <v>502</v>
      </c>
      <c r="Q58" s="188">
        <v>197</v>
      </c>
      <c r="R58" s="188">
        <v>607</v>
      </c>
      <c r="S58" s="188">
        <v>241</v>
      </c>
      <c r="T58" s="188">
        <v>3</v>
      </c>
      <c r="U58" s="188">
        <v>33</v>
      </c>
      <c r="V58" s="188">
        <v>36</v>
      </c>
      <c r="W58" s="189" t="s">
        <v>125</v>
      </c>
      <c r="X58" s="189" t="s">
        <v>125</v>
      </c>
      <c r="Y58" s="189" t="s">
        <v>125</v>
      </c>
      <c r="Z58" s="188">
        <v>42162</v>
      </c>
      <c r="AA58" s="188">
        <v>42162</v>
      </c>
      <c r="AB58" s="188">
        <v>0</v>
      </c>
      <c r="AC58" s="188">
        <v>11276099</v>
      </c>
      <c r="AD58" s="188">
        <v>26497</v>
      </c>
      <c r="AE58" s="190">
        <v>11302596</v>
      </c>
      <c r="AY58" s="192"/>
      <c r="AZ58" s="192"/>
    </row>
    <row r="59" spans="1:52" s="191" customFormat="1" ht="15" customHeight="1">
      <c r="A59" s="187" t="s">
        <v>175</v>
      </c>
      <c r="B59" s="188">
        <v>692</v>
      </c>
      <c r="C59" s="188">
        <v>13</v>
      </c>
      <c r="D59" s="188">
        <v>0</v>
      </c>
      <c r="E59" s="188">
        <v>4924</v>
      </c>
      <c r="F59" s="188">
        <v>51</v>
      </c>
      <c r="G59" s="188">
        <v>13</v>
      </c>
      <c r="H59" s="188">
        <v>5616</v>
      </c>
      <c r="I59" s="188">
        <v>64</v>
      </c>
      <c r="J59" s="188">
        <v>13</v>
      </c>
      <c r="K59" s="188">
        <v>1913</v>
      </c>
      <c r="L59" s="188">
        <v>10884</v>
      </c>
      <c r="M59" s="188">
        <v>12797</v>
      </c>
      <c r="N59" s="188">
        <v>28</v>
      </c>
      <c r="O59" s="188">
        <v>15</v>
      </c>
      <c r="P59" s="188">
        <v>145</v>
      </c>
      <c r="Q59" s="188">
        <v>60</v>
      </c>
      <c r="R59" s="188">
        <v>173</v>
      </c>
      <c r="S59" s="188">
        <v>75</v>
      </c>
      <c r="T59" s="188">
        <v>0</v>
      </c>
      <c r="U59" s="188">
        <v>18</v>
      </c>
      <c r="V59" s="188">
        <v>18</v>
      </c>
      <c r="W59" s="189" t="s">
        <v>125</v>
      </c>
      <c r="X59" s="189" t="s">
        <v>125</v>
      </c>
      <c r="Y59" s="189" t="s">
        <v>125</v>
      </c>
      <c r="Z59" s="188">
        <v>6063</v>
      </c>
      <c r="AA59" s="188">
        <v>6063</v>
      </c>
      <c r="AB59" s="188">
        <v>0</v>
      </c>
      <c r="AC59" s="188">
        <v>1731177</v>
      </c>
      <c r="AD59" s="188">
        <v>9490</v>
      </c>
      <c r="AE59" s="190">
        <v>1740667</v>
      </c>
      <c r="AY59" s="192"/>
      <c r="AZ59" s="192"/>
    </row>
    <row r="60" spans="1:52" s="191" customFormat="1" ht="15" customHeight="1">
      <c r="A60" s="187" t="s">
        <v>176</v>
      </c>
      <c r="B60" s="188">
        <v>468</v>
      </c>
      <c r="C60" s="188">
        <v>2</v>
      </c>
      <c r="D60" s="188">
        <v>0</v>
      </c>
      <c r="E60" s="188">
        <v>3855</v>
      </c>
      <c r="F60" s="188">
        <v>16</v>
      </c>
      <c r="G60" s="188">
        <v>3</v>
      </c>
      <c r="H60" s="188">
        <v>4323</v>
      </c>
      <c r="I60" s="188">
        <v>18</v>
      </c>
      <c r="J60" s="188">
        <v>3</v>
      </c>
      <c r="K60" s="188">
        <v>1221</v>
      </c>
      <c r="L60" s="188">
        <v>8080</v>
      </c>
      <c r="M60" s="188">
        <v>9301</v>
      </c>
      <c r="N60" s="188">
        <v>5</v>
      </c>
      <c r="O60" s="188">
        <v>2</v>
      </c>
      <c r="P60" s="188">
        <v>39</v>
      </c>
      <c r="Q60" s="188">
        <v>17</v>
      </c>
      <c r="R60" s="188">
        <v>44</v>
      </c>
      <c r="S60" s="188">
        <v>19</v>
      </c>
      <c r="T60" s="188">
        <v>0</v>
      </c>
      <c r="U60" s="188">
        <v>4</v>
      </c>
      <c r="V60" s="188">
        <v>4</v>
      </c>
      <c r="W60" s="189" t="s">
        <v>125</v>
      </c>
      <c r="X60" s="189" t="s">
        <v>125</v>
      </c>
      <c r="Y60" s="189" t="s">
        <v>125</v>
      </c>
      <c r="Z60" s="188">
        <v>4690</v>
      </c>
      <c r="AA60" s="188">
        <v>4690</v>
      </c>
      <c r="AB60" s="188">
        <v>0</v>
      </c>
      <c r="AC60" s="188">
        <v>1207966</v>
      </c>
      <c r="AD60" s="188">
        <v>3394</v>
      </c>
      <c r="AE60" s="190">
        <v>1211360</v>
      </c>
      <c r="AY60" s="192"/>
      <c r="AZ60" s="192"/>
    </row>
    <row r="61" spans="1:52" s="191" customFormat="1" ht="15" customHeight="1">
      <c r="A61" s="187" t="s">
        <v>177</v>
      </c>
      <c r="B61" s="188">
        <v>468</v>
      </c>
      <c r="C61" s="188">
        <v>2</v>
      </c>
      <c r="D61" s="188">
        <v>0</v>
      </c>
      <c r="E61" s="188">
        <v>3855</v>
      </c>
      <c r="F61" s="188">
        <v>16</v>
      </c>
      <c r="G61" s="188">
        <v>3</v>
      </c>
      <c r="H61" s="188">
        <v>4323</v>
      </c>
      <c r="I61" s="188">
        <v>18</v>
      </c>
      <c r="J61" s="188">
        <v>3</v>
      </c>
      <c r="K61" s="188">
        <v>1221</v>
      </c>
      <c r="L61" s="188">
        <v>8080</v>
      </c>
      <c r="M61" s="188">
        <v>9301</v>
      </c>
      <c r="N61" s="188">
        <v>5</v>
      </c>
      <c r="O61" s="188">
        <v>2</v>
      </c>
      <c r="P61" s="188">
        <v>39</v>
      </c>
      <c r="Q61" s="188">
        <v>17</v>
      </c>
      <c r="R61" s="188">
        <v>44</v>
      </c>
      <c r="S61" s="188">
        <v>19</v>
      </c>
      <c r="T61" s="188">
        <v>0</v>
      </c>
      <c r="U61" s="188">
        <v>4</v>
      </c>
      <c r="V61" s="188">
        <v>4</v>
      </c>
      <c r="W61" s="189" t="s">
        <v>125</v>
      </c>
      <c r="X61" s="189" t="s">
        <v>125</v>
      </c>
      <c r="Y61" s="189" t="s">
        <v>125</v>
      </c>
      <c r="Z61" s="188">
        <v>4690</v>
      </c>
      <c r="AA61" s="188">
        <v>4690</v>
      </c>
      <c r="AB61" s="188">
        <v>0</v>
      </c>
      <c r="AC61" s="188">
        <v>1207966</v>
      </c>
      <c r="AD61" s="188">
        <v>3394</v>
      </c>
      <c r="AE61" s="190">
        <v>1211360</v>
      </c>
      <c r="AY61" s="192"/>
      <c r="AZ61" s="192"/>
    </row>
    <row r="62" spans="1:52" s="191" customFormat="1" ht="15" customHeight="1">
      <c r="A62" s="187" t="s">
        <v>178</v>
      </c>
      <c r="B62" s="188">
        <v>7490</v>
      </c>
      <c r="C62" s="188">
        <v>63</v>
      </c>
      <c r="D62" s="188">
        <v>0</v>
      </c>
      <c r="E62" s="188">
        <v>43561</v>
      </c>
      <c r="F62" s="188">
        <v>796</v>
      </c>
      <c r="G62" s="188">
        <v>204</v>
      </c>
      <c r="H62" s="188">
        <v>51051</v>
      </c>
      <c r="I62" s="188">
        <v>859</v>
      </c>
      <c r="J62" s="188">
        <v>204</v>
      </c>
      <c r="K62" s="188">
        <v>20533</v>
      </c>
      <c r="L62" s="188">
        <v>97276</v>
      </c>
      <c r="M62" s="188">
        <v>117809</v>
      </c>
      <c r="N62" s="188">
        <v>146</v>
      </c>
      <c r="O62" s="188">
        <v>69</v>
      </c>
      <c r="P62" s="188">
        <v>2210</v>
      </c>
      <c r="Q62" s="188">
        <v>887</v>
      </c>
      <c r="R62" s="188">
        <v>2356</v>
      </c>
      <c r="S62" s="188">
        <v>956</v>
      </c>
      <c r="T62" s="188">
        <v>0</v>
      </c>
      <c r="U62" s="188">
        <v>253</v>
      </c>
      <c r="V62" s="188">
        <v>253</v>
      </c>
      <c r="W62" s="189" t="s">
        <v>125</v>
      </c>
      <c r="X62" s="189" t="s">
        <v>125</v>
      </c>
      <c r="Y62" s="189" t="s">
        <v>125</v>
      </c>
      <c r="Z62" s="188">
        <v>61144</v>
      </c>
      <c r="AA62" s="188">
        <v>61144</v>
      </c>
      <c r="AB62" s="188">
        <v>0</v>
      </c>
      <c r="AC62" s="188">
        <v>16414849</v>
      </c>
      <c r="AD62" s="188">
        <v>146870</v>
      </c>
      <c r="AE62" s="190">
        <v>16561719</v>
      </c>
      <c r="AY62" s="192"/>
      <c r="AZ62" s="192"/>
    </row>
    <row r="63" spans="1:52" s="191" customFormat="1" ht="15" customHeight="1">
      <c r="A63" s="187" t="s">
        <v>179</v>
      </c>
      <c r="B63" s="188">
        <v>277</v>
      </c>
      <c r="C63" s="188">
        <v>1</v>
      </c>
      <c r="D63" s="188">
        <v>0</v>
      </c>
      <c r="E63" s="188">
        <v>2676</v>
      </c>
      <c r="F63" s="188">
        <v>3</v>
      </c>
      <c r="G63" s="188">
        <v>2</v>
      </c>
      <c r="H63" s="188">
        <v>2953</v>
      </c>
      <c r="I63" s="188">
        <v>4</v>
      </c>
      <c r="J63" s="188">
        <v>2</v>
      </c>
      <c r="K63" s="188">
        <v>712</v>
      </c>
      <c r="L63" s="188">
        <v>4457</v>
      </c>
      <c r="M63" s="188">
        <v>5169</v>
      </c>
      <c r="N63" s="188">
        <v>4</v>
      </c>
      <c r="O63" s="188">
        <v>2</v>
      </c>
      <c r="P63" s="188">
        <v>5</v>
      </c>
      <c r="Q63" s="188">
        <v>3</v>
      </c>
      <c r="R63" s="188">
        <v>9</v>
      </c>
      <c r="S63" s="188">
        <v>5</v>
      </c>
      <c r="T63" s="188">
        <v>0</v>
      </c>
      <c r="U63" s="188">
        <v>4</v>
      </c>
      <c r="V63" s="188">
        <v>4</v>
      </c>
      <c r="W63" s="189" t="s">
        <v>125</v>
      </c>
      <c r="X63" s="189" t="s">
        <v>125</v>
      </c>
      <c r="Y63" s="189" t="s">
        <v>125</v>
      </c>
      <c r="Z63" s="188">
        <v>3109</v>
      </c>
      <c r="AA63" s="188">
        <v>3109</v>
      </c>
      <c r="AB63" s="188">
        <v>0</v>
      </c>
      <c r="AC63" s="188">
        <v>680292</v>
      </c>
      <c r="AD63" s="188">
        <v>735</v>
      </c>
      <c r="AE63" s="190">
        <v>681027</v>
      </c>
      <c r="AY63" s="192"/>
      <c r="AZ63" s="192"/>
    </row>
    <row r="64" spans="1:52" s="191" customFormat="1" ht="15" customHeight="1">
      <c r="A64" s="187" t="s">
        <v>180</v>
      </c>
      <c r="B64" s="188">
        <v>2823</v>
      </c>
      <c r="C64" s="188">
        <v>19</v>
      </c>
      <c r="D64" s="188">
        <v>0</v>
      </c>
      <c r="E64" s="188">
        <v>32922</v>
      </c>
      <c r="F64" s="188">
        <v>328</v>
      </c>
      <c r="G64" s="188">
        <v>212</v>
      </c>
      <c r="H64" s="188">
        <v>35745</v>
      </c>
      <c r="I64" s="188">
        <v>347</v>
      </c>
      <c r="J64" s="188">
        <v>212</v>
      </c>
      <c r="K64" s="188">
        <v>7253</v>
      </c>
      <c r="L64" s="188">
        <v>63947</v>
      </c>
      <c r="M64" s="188">
        <v>71200</v>
      </c>
      <c r="N64" s="188">
        <v>42</v>
      </c>
      <c r="O64" s="188">
        <v>26</v>
      </c>
      <c r="P64" s="188">
        <v>780</v>
      </c>
      <c r="Q64" s="188">
        <v>379</v>
      </c>
      <c r="R64" s="188">
        <v>822</v>
      </c>
      <c r="S64" s="188">
        <v>405</v>
      </c>
      <c r="T64" s="188">
        <v>0</v>
      </c>
      <c r="U64" s="188">
        <v>272</v>
      </c>
      <c r="V64" s="188">
        <v>272</v>
      </c>
      <c r="W64" s="189" t="s">
        <v>125</v>
      </c>
      <c r="X64" s="189" t="s">
        <v>125</v>
      </c>
      <c r="Y64" s="189" t="s">
        <v>125</v>
      </c>
      <c r="Z64" s="188">
        <v>41864</v>
      </c>
      <c r="AA64" s="188">
        <v>41864</v>
      </c>
      <c r="AB64" s="188">
        <v>0</v>
      </c>
      <c r="AC64" s="188">
        <v>9677820</v>
      </c>
      <c r="AD64" s="188">
        <v>122415</v>
      </c>
      <c r="AE64" s="190">
        <v>9800235</v>
      </c>
      <c r="AY64" s="192"/>
      <c r="AZ64" s="192"/>
    </row>
    <row r="65" spans="1:52" s="191" customFormat="1" ht="15" customHeight="1">
      <c r="A65" s="187" t="s">
        <v>181</v>
      </c>
      <c r="B65" s="188">
        <v>801</v>
      </c>
      <c r="C65" s="188">
        <v>41</v>
      </c>
      <c r="D65" s="188">
        <v>2</v>
      </c>
      <c r="E65" s="188">
        <v>9060</v>
      </c>
      <c r="F65" s="188">
        <v>149</v>
      </c>
      <c r="G65" s="188">
        <v>66</v>
      </c>
      <c r="H65" s="188">
        <v>9861</v>
      </c>
      <c r="I65" s="188">
        <v>190</v>
      </c>
      <c r="J65" s="188">
        <v>68</v>
      </c>
      <c r="K65" s="188">
        <v>2070</v>
      </c>
      <c r="L65" s="188">
        <v>16649</v>
      </c>
      <c r="M65" s="188">
        <v>18719</v>
      </c>
      <c r="N65" s="188">
        <v>99</v>
      </c>
      <c r="O65" s="188">
        <v>68</v>
      </c>
      <c r="P65" s="188">
        <v>405</v>
      </c>
      <c r="Q65" s="188">
        <v>215</v>
      </c>
      <c r="R65" s="188">
        <v>504</v>
      </c>
      <c r="S65" s="188">
        <v>283</v>
      </c>
      <c r="T65" s="188">
        <v>7</v>
      </c>
      <c r="U65" s="188">
        <v>93</v>
      </c>
      <c r="V65" s="188">
        <v>100</v>
      </c>
      <c r="W65" s="189" t="s">
        <v>125</v>
      </c>
      <c r="X65" s="189" t="s">
        <v>125</v>
      </c>
      <c r="Y65" s="189" t="s">
        <v>125</v>
      </c>
      <c r="Z65" s="188">
        <v>11894</v>
      </c>
      <c r="AA65" s="188">
        <v>11894</v>
      </c>
      <c r="AB65" s="188">
        <v>0</v>
      </c>
      <c r="AC65" s="188">
        <v>2613477</v>
      </c>
      <c r="AD65" s="188">
        <v>46467</v>
      </c>
      <c r="AE65" s="190">
        <v>2659944</v>
      </c>
      <c r="AY65" s="192"/>
      <c r="AZ65" s="192"/>
    </row>
    <row r="66" spans="1:52" s="191" customFormat="1" ht="15" customHeight="1" thickBot="1">
      <c r="A66" s="193" t="s">
        <v>182</v>
      </c>
      <c r="B66" s="194">
        <v>785</v>
      </c>
      <c r="C66" s="194">
        <v>5</v>
      </c>
      <c r="D66" s="194">
        <v>0</v>
      </c>
      <c r="E66" s="194">
        <v>5107</v>
      </c>
      <c r="F66" s="194">
        <v>28</v>
      </c>
      <c r="G66" s="194">
        <v>7</v>
      </c>
      <c r="H66" s="194">
        <v>5892</v>
      </c>
      <c r="I66" s="194">
        <v>33</v>
      </c>
      <c r="J66" s="194">
        <v>7</v>
      </c>
      <c r="K66" s="194">
        <v>2123</v>
      </c>
      <c r="L66" s="194">
        <v>10562</v>
      </c>
      <c r="M66" s="194">
        <v>12685</v>
      </c>
      <c r="N66" s="194">
        <v>12</v>
      </c>
      <c r="O66" s="194">
        <v>7</v>
      </c>
      <c r="P66" s="194">
        <v>84</v>
      </c>
      <c r="Q66" s="194">
        <v>39</v>
      </c>
      <c r="R66" s="194">
        <v>96</v>
      </c>
      <c r="S66" s="194">
        <v>46</v>
      </c>
      <c r="T66" s="194">
        <v>0</v>
      </c>
      <c r="U66" s="194">
        <v>8</v>
      </c>
      <c r="V66" s="194">
        <v>8</v>
      </c>
      <c r="W66" s="195" t="s">
        <v>125</v>
      </c>
      <c r="X66" s="195" t="s">
        <v>125</v>
      </c>
      <c r="Y66" s="195" t="s">
        <v>125</v>
      </c>
      <c r="Z66" s="194">
        <v>6435</v>
      </c>
      <c r="AA66" s="194">
        <v>6435</v>
      </c>
      <c r="AB66" s="194">
        <v>0</v>
      </c>
      <c r="AC66" s="194">
        <v>1734718</v>
      </c>
      <c r="AD66" s="194">
        <v>5901</v>
      </c>
      <c r="AE66" s="196">
        <v>1740619</v>
      </c>
      <c r="AG66" s="197" t="s">
        <v>63</v>
      </c>
      <c r="AY66" s="192"/>
      <c r="AZ66" s="192"/>
    </row>
    <row r="67" spans="1:52" s="191" customFormat="1" ht="15.75" customHeight="1" thickTop="1">
      <c r="A67" s="198" t="s">
        <v>183</v>
      </c>
      <c r="B67" s="199">
        <v>251265</v>
      </c>
      <c r="C67" s="199">
        <v>4955</v>
      </c>
      <c r="D67" s="199">
        <v>325</v>
      </c>
      <c r="E67" s="199">
        <v>1724941</v>
      </c>
      <c r="F67" s="199">
        <v>20670</v>
      </c>
      <c r="G67" s="199">
        <v>10602</v>
      </c>
      <c r="H67" s="199">
        <v>1976206</v>
      </c>
      <c r="I67" s="199">
        <v>25625</v>
      </c>
      <c r="J67" s="199">
        <v>10927</v>
      </c>
      <c r="K67" s="199">
        <v>641365</v>
      </c>
      <c r="L67" s="199">
        <v>3423151</v>
      </c>
      <c r="M67" s="199">
        <v>4064516</v>
      </c>
      <c r="N67" s="199">
        <v>11052</v>
      </c>
      <c r="O67" s="199">
        <v>6766</v>
      </c>
      <c r="P67" s="199">
        <v>49688</v>
      </c>
      <c r="Q67" s="199">
        <v>25395</v>
      </c>
      <c r="R67" s="199">
        <v>60740</v>
      </c>
      <c r="S67" s="199">
        <v>32161</v>
      </c>
      <c r="T67" s="199">
        <v>438</v>
      </c>
      <c r="U67" s="199">
        <v>13678</v>
      </c>
      <c r="V67" s="199">
        <v>14116</v>
      </c>
      <c r="W67" s="200"/>
      <c r="X67" s="200"/>
      <c r="Y67" s="200"/>
      <c r="Z67" s="199">
        <v>2181793</v>
      </c>
      <c r="AA67" s="199">
        <v>2181793</v>
      </c>
      <c r="AB67" s="199">
        <v>0</v>
      </c>
      <c r="AC67" s="199">
        <v>570077179</v>
      </c>
      <c r="AD67" s="199">
        <v>5430223</v>
      </c>
      <c r="AE67" s="199">
        <v>575507402</v>
      </c>
      <c r="AG67" s="201">
        <v>1167746972</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1"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6" max="51" man="1"/>
  </rowBreaks>
  <colBreaks count="5" manualBreakCount="5">
    <brk id="10" max="66" man="1"/>
    <brk id="19" max="66" man="1"/>
    <brk id="28" max="66" man="1"/>
    <brk id="33" max="66" man="1"/>
    <brk id="43"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8</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256433</v>
      </c>
      <c r="F12" s="54">
        <v>2</v>
      </c>
      <c r="G12" s="55">
        <v>5005</v>
      </c>
      <c r="H12" s="54">
        <v>3</v>
      </c>
      <c r="I12" s="55">
        <v>151</v>
      </c>
      <c r="J12" s="54">
        <v>4</v>
      </c>
      <c r="K12" s="55">
        <v>1788315</v>
      </c>
      <c r="L12" s="54">
        <v>5</v>
      </c>
      <c r="M12" s="55">
        <v>20987</v>
      </c>
      <c r="N12" s="54">
        <v>6</v>
      </c>
      <c r="O12" s="55">
        <v>11192</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654012</v>
      </c>
      <c r="F14" s="68"/>
      <c r="G14" s="69"/>
      <c r="H14" s="68"/>
      <c r="I14" s="69"/>
      <c r="J14" s="66"/>
      <c r="K14" s="67">
        <v>3542034</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11084</v>
      </c>
      <c r="F16" s="68"/>
      <c r="G16" s="69"/>
      <c r="H16" s="66"/>
      <c r="I16" s="67">
        <v>6736</v>
      </c>
      <c r="J16" s="66"/>
      <c r="K16" s="67">
        <v>50298</v>
      </c>
      <c r="L16" s="68"/>
      <c r="M16" s="69"/>
      <c r="N16" s="66"/>
      <c r="O16" s="67">
        <v>25656</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248</v>
      </c>
      <c r="J18" s="68"/>
      <c r="K18" s="69"/>
      <c r="L18" s="68"/>
      <c r="M18" s="69"/>
      <c r="N18" s="66"/>
      <c r="O18" s="67">
        <v>14371</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2044748</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25992</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11343</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4196046</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61382</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32392</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14619</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2274847</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2274847</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593619123</v>
      </c>
    </row>
    <row r="37" spans="1:26" ht="17.25" customHeight="1">
      <c r="A37" s="97" t="s">
        <v>59</v>
      </c>
      <c r="B37" s="98" t="s">
        <v>60</v>
      </c>
      <c r="C37" s="98"/>
      <c r="D37" s="99"/>
      <c r="E37" s="98"/>
      <c r="F37" s="98"/>
      <c r="G37" s="98"/>
      <c r="H37" s="98"/>
      <c r="I37" s="98"/>
      <c r="J37" s="103"/>
      <c r="K37" s="103"/>
      <c r="L37" s="103"/>
      <c r="M37" s="103"/>
      <c r="N37" s="124">
        <v>29</v>
      </c>
      <c r="O37" s="125">
        <v>5739306</v>
      </c>
    </row>
    <row r="38" spans="1:26" ht="17.25" customHeight="1">
      <c r="A38" s="97" t="s">
        <v>61</v>
      </c>
      <c r="B38" s="98" t="s">
        <v>62</v>
      </c>
      <c r="C38" s="98"/>
      <c r="D38" s="99"/>
      <c r="E38" s="98"/>
      <c r="F38" s="98"/>
      <c r="G38" s="98"/>
      <c r="H38" s="98"/>
      <c r="I38" s="98"/>
      <c r="J38" s="103"/>
      <c r="K38" s="103"/>
      <c r="L38" s="103"/>
      <c r="M38" s="103"/>
      <c r="N38" s="126">
        <v>30</v>
      </c>
      <c r="O38" s="127">
        <v>599358429</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212</v>
      </c>
      <c r="B41" s="221"/>
      <c r="C41" s="221"/>
      <c r="D41" s="221"/>
      <c r="E41" s="221"/>
      <c r="F41" s="221"/>
      <c r="G41" s="221"/>
      <c r="H41" s="221"/>
      <c r="I41" s="221"/>
      <c r="J41" s="221"/>
      <c r="K41" s="221"/>
      <c r="L41" s="221"/>
      <c r="M41" s="221"/>
      <c r="N41" s="221"/>
      <c r="O41" s="222"/>
      <c r="Q41" s="27"/>
    </row>
    <row r="42" spans="1:26">
      <c r="L42" s="133" t="s">
        <v>63</v>
      </c>
      <c r="M42" s="134"/>
      <c r="N42" s="135"/>
      <c r="O42" s="136">
        <v>1216039596</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201</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247580</v>
      </c>
      <c r="F12" s="54">
        <v>2</v>
      </c>
      <c r="G12" s="55">
        <v>4865</v>
      </c>
      <c r="H12" s="54">
        <v>3</v>
      </c>
      <c r="I12" s="55">
        <v>319</v>
      </c>
      <c r="J12" s="54">
        <v>4</v>
      </c>
      <c r="K12" s="55">
        <v>1703792</v>
      </c>
      <c r="L12" s="54">
        <v>5</v>
      </c>
      <c r="M12" s="55">
        <v>20445</v>
      </c>
      <c r="N12" s="54">
        <v>6</v>
      </c>
      <c r="O12" s="55">
        <v>10452</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632213</v>
      </c>
      <c r="F14" s="68"/>
      <c r="G14" s="69"/>
      <c r="H14" s="68"/>
      <c r="I14" s="69"/>
      <c r="J14" s="66"/>
      <c r="K14" s="67">
        <v>3379628</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10912</v>
      </c>
      <c r="F16" s="68"/>
      <c r="G16" s="69"/>
      <c r="H16" s="66"/>
      <c r="I16" s="67">
        <v>6680</v>
      </c>
      <c r="J16" s="66"/>
      <c r="K16" s="67">
        <v>49014</v>
      </c>
      <c r="L16" s="68"/>
      <c r="M16" s="69"/>
      <c r="N16" s="66"/>
      <c r="O16" s="67">
        <v>25164</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424</v>
      </c>
      <c r="J18" s="68"/>
      <c r="K18" s="69"/>
      <c r="L18" s="68"/>
      <c r="M18" s="69"/>
      <c r="N18" s="66"/>
      <c r="O18" s="67">
        <v>13459</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1951372</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25310</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10771</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4011841</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59926</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31844</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13883</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2105620</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2105620</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559715330</v>
      </c>
    </row>
    <row r="37" spans="1:26" ht="17.25" customHeight="1">
      <c r="A37" s="97" t="s">
        <v>59</v>
      </c>
      <c r="B37" s="98" t="s">
        <v>60</v>
      </c>
      <c r="C37" s="98"/>
      <c r="D37" s="99"/>
      <c r="E37" s="98"/>
      <c r="F37" s="98"/>
      <c r="G37" s="98"/>
      <c r="H37" s="98"/>
      <c r="I37" s="98"/>
      <c r="J37" s="103"/>
      <c r="K37" s="103"/>
      <c r="L37" s="103"/>
      <c r="M37" s="103"/>
      <c r="N37" s="124">
        <v>29</v>
      </c>
      <c r="O37" s="125">
        <v>5287255</v>
      </c>
    </row>
    <row r="38" spans="1:26" ht="17.25" customHeight="1">
      <c r="A38" s="97" t="s">
        <v>61</v>
      </c>
      <c r="B38" s="98" t="s">
        <v>62</v>
      </c>
      <c r="C38" s="98"/>
      <c r="D38" s="99"/>
      <c r="E38" s="98"/>
      <c r="F38" s="98"/>
      <c r="G38" s="98"/>
      <c r="H38" s="98"/>
      <c r="I38" s="98"/>
      <c r="J38" s="103"/>
      <c r="K38" s="103"/>
      <c r="L38" s="103"/>
      <c r="M38" s="103"/>
      <c r="N38" s="126">
        <v>30</v>
      </c>
      <c r="O38" s="127">
        <v>565002585</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1146426304</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202</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201</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5333</v>
      </c>
      <c r="C9" s="188">
        <v>218</v>
      </c>
      <c r="D9" s="188">
        <v>7</v>
      </c>
      <c r="E9" s="188">
        <v>49201</v>
      </c>
      <c r="F9" s="188">
        <v>1370</v>
      </c>
      <c r="G9" s="188">
        <v>675</v>
      </c>
      <c r="H9" s="188">
        <v>54534</v>
      </c>
      <c r="I9" s="188">
        <v>1588</v>
      </c>
      <c r="J9" s="188">
        <v>682</v>
      </c>
      <c r="K9" s="188">
        <v>12186</v>
      </c>
      <c r="L9" s="188">
        <v>89262</v>
      </c>
      <c r="M9" s="188">
        <v>101448</v>
      </c>
      <c r="N9" s="188">
        <v>504</v>
      </c>
      <c r="O9" s="188">
        <v>292</v>
      </c>
      <c r="P9" s="188">
        <v>3097</v>
      </c>
      <c r="Q9" s="188">
        <v>1808</v>
      </c>
      <c r="R9" s="188">
        <v>3601</v>
      </c>
      <c r="S9" s="188">
        <v>2100</v>
      </c>
      <c r="T9" s="188">
        <v>11</v>
      </c>
      <c r="U9" s="188">
        <v>889</v>
      </c>
      <c r="V9" s="188">
        <v>900</v>
      </c>
      <c r="W9" s="189" t="s">
        <v>125</v>
      </c>
      <c r="X9" s="189" t="s">
        <v>125</v>
      </c>
      <c r="Y9" s="189" t="s">
        <v>125</v>
      </c>
      <c r="Z9" s="188">
        <v>56804</v>
      </c>
      <c r="AA9" s="188">
        <v>56804</v>
      </c>
      <c r="AB9" s="188">
        <v>0</v>
      </c>
      <c r="AC9" s="188">
        <v>14801218</v>
      </c>
      <c r="AD9" s="188">
        <v>337656</v>
      </c>
      <c r="AE9" s="190">
        <v>15138874</v>
      </c>
    </row>
    <row r="10" spans="1:52" ht="15" customHeight="1">
      <c r="A10" s="187" t="s">
        <v>126</v>
      </c>
      <c r="B10" s="188">
        <v>1</v>
      </c>
      <c r="C10" s="188">
        <v>0</v>
      </c>
      <c r="D10" s="188">
        <v>0</v>
      </c>
      <c r="E10" s="188">
        <v>83</v>
      </c>
      <c r="F10" s="188">
        <v>0</v>
      </c>
      <c r="G10" s="188">
        <v>0</v>
      </c>
      <c r="H10" s="188">
        <v>84</v>
      </c>
      <c r="I10" s="188">
        <v>0</v>
      </c>
      <c r="J10" s="188">
        <v>0</v>
      </c>
      <c r="K10" s="188">
        <v>1</v>
      </c>
      <c r="L10" s="188">
        <v>142</v>
      </c>
      <c r="M10" s="188">
        <v>143</v>
      </c>
      <c r="N10" s="188">
        <v>0</v>
      </c>
      <c r="O10" s="188">
        <v>0</v>
      </c>
      <c r="P10" s="188">
        <v>0</v>
      </c>
      <c r="Q10" s="188">
        <v>0</v>
      </c>
      <c r="R10" s="188">
        <v>0</v>
      </c>
      <c r="S10" s="188">
        <v>0</v>
      </c>
      <c r="T10" s="188">
        <v>0</v>
      </c>
      <c r="U10" s="188">
        <v>0</v>
      </c>
      <c r="V10" s="188">
        <v>0</v>
      </c>
      <c r="W10" s="189" t="s">
        <v>125</v>
      </c>
      <c r="X10" s="189" t="s">
        <v>125</v>
      </c>
      <c r="Y10" s="189" t="s">
        <v>125</v>
      </c>
      <c r="Z10" s="188">
        <v>88</v>
      </c>
      <c r="AA10" s="188">
        <v>88</v>
      </c>
      <c r="AB10" s="188">
        <v>0</v>
      </c>
      <c r="AC10" s="188">
        <v>16171</v>
      </c>
      <c r="AD10" s="188">
        <v>0</v>
      </c>
      <c r="AE10" s="190">
        <v>16171</v>
      </c>
    </row>
    <row r="11" spans="1:52" ht="15" customHeight="1">
      <c r="A11" s="187" t="s">
        <v>127</v>
      </c>
      <c r="B11" s="188">
        <v>119</v>
      </c>
      <c r="C11" s="188">
        <v>0</v>
      </c>
      <c r="D11" s="188">
        <v>0</v>
      </c>
      <c r="E11" s="188">
        <v>1549</v>
      </c>
      <c r="F11" s="188">
        <v>4</v>
      </c>
      <c r="G11" s="188">
        <v>1</v>
      </c>
      <c r="H11" s="188">
        <v>1668</v>
      </c>
      <c r="I11" s="188">
        <v>4</v>
      </c>
      <c r="J11" s="188">
        <v>1</v>
      </c>
      <c r="K11" s="188">
        <v>302</v>
      </c>
      <c r="L11" s="188">
        <v>2760</v>
      </c>
      <c r="M11" s="188">
        <v>3062</v>
      </c>
      <c r="N11" s="188">
        <v>0</v>
      </c>
      <c r="O11" s="188">
        <v>0</v>
      </c>
      <c r="P11" s="188">
        <v>11</v>
      </c>
      <c r="Q11" s="188">
        <v>4</v>
      </c>
      <c r="R11" s="188">
        <v>11</v>
      </c>
      <c r="S11" s="188">
        <v>4</v>
      </c>
      <c r="T11" s="188">
        <v>0</v>
      </c>
      <c r="U11" s="188">
        <v>1</v>
      </c>
      <c r="V11" s="188">
        <v>1</v>
      </c>
      <c r="W11" s="189" t="s">
        <v>125</v>
      </c>
      <c r="X11" s="189" t="s">
        <v>125</v>
      </c>
      <c r="Y11" s="189" t="s">
        <v>125</v>
      </c>
      <c r="Z11" s="188">
        <v>1753</v>
      </c>
      <c r="AA11" s="188">
        <v>1753</v>
      </c>
      <c r="AB11" s="188">
        <v>0</v>
      </c>
      <c r="AC11" s="188">
        <v>405238</v>
      </c>
      <c r="AD11" s="188">
        <v>455</v>
      </c>
      <c r="AE11" s="190">
        <v>405693</v>
      </c>
    </row>
    <row r="12" spans="1:52" ht="15" customHeight="1">
      <c r="A12" s="187" t="s">
        <v>128</v>
      </c>
      <c r="B12" s="188">
        <v>1540</v>
      </c>
      <c r="C12" s="188">
        <v>8</v>
      </c>
      <c r="D12" s="188">
        <v>0</v>
      </c>
      <c r="E12" s="188">
        <v>15022</v>
      </c>
      <c r="F12" s="188">
        <v>44</v>
      </c>
      <c r="G12" s="188">
        <v>22</v>
      </c>
      <c r="H12" s="188">
        <v>16562</v>
      </c>
      <c r="I12" s="188">
        <v>52</v>
      </c>
      <c r="J12" s="188">
        <v>22</v>
      </c>
      <c r="K12" s="188">
        <v>3803</v>
      </c>
      <c r="L12" s="188">
        <v>26925</v>
      </c>
      <c r="M12" s="188">
        <v>30728</v>
      </c>
      <c r="N12" s="188">
        <v>14</v>
      </c>
      <c r="O12" s="188">
        <v>8</v>
      </c>
      <c r="P12" s="188">
        <v>121</v>
      </c>
      <c r="Q12" s="188">
        <v>47</v>
      </c>
      <c r="R12" s="188">
        <v>135</v>
      </c>
      <c r="S12" s="188">
        <v>55</v>
      </c>
      <c r="T12" s="188">
        <v>0</v>
      </c>
      <c r="U12" s="188">
        <v>26</v>
      </c>
      <c r="V12" s="188">
        <v>26</v>
      </c>
      <c r="W12" s="189" t="s">
        <v>125</v>
      </c>
      <c r="X12" s="189" t="s">
        <v>125</v>
      </c>
      <c r="Y12" s="189" t="s">
        <v>125</v>
      </c>
      <c r="Z12" s="188">
        <v>17669</v>
      </c>
      <c r="AA12" s="188">
        <v>17669</v>
      </c>
      <c r="AB12" s="188">
        <v>0</v>
      </c>
      <c r="AC12" s="188">
        <v>4235139</v>
      </c>
      <c r="AD12" s="188">
        <v>10903</v>
      </c>
      <c r="AE12" s="190">
        <v>4246042</v>
      </c>
    </row>
    <row r="13" spans="1:52" ht="15" customHeight="1">
      <c r="A13" s="187" t="s">
        <v>129</v>
      </c>
      <c r="B13" s="188">
        <v>191</v>
      </c>
      <c r="C13" s="188">
        <v>0</v>
      </c>
      <c r="D13" s="188">
        <v>0</v>
      </c>
      <c r="E13" s="188">
        <v>2607</v>
      </c>
      <c r="F13" s="188">
        <v>6</v>
      </c>
      <c r="G13" s="188">
        <v>4</v>
      </c>
      <c r="H13" s="188">
        <v>2798</v>
      </c>
      <c r="I13" s="188">
        <v>6</v>
      </c>
      <c r="J13" s="188">
        <v>4</v>
      </c>
      <c r="K13" s="188">
        <v>494</v>
      </c>
      <c r="L13" s="188">
        <v>4573</v>
      </c>
      <c r="M13" s="188">
        <v>5067</v>
      </c>
      <c r="N13" s="188">
        <v>0</v>
      </c>
      <c r="O13" s="188">
        <v>0</v>
      </c>
      <c r="P13" s="188">
        <v>10</v>
      </c>
      <c r="Q13" s="188">
        <v>7</v>
      </c>
      <c r="R13" s="188">
        <v>10</v>
      </c>
      <c r="S13" s="188">
        <v>7</v>
      </c>
      <c r="T13" s="188">
        <v>0</v>
      </c>
      <c r="U13" s="188">
        <v>5</v>
      </c>
      <c r="V13" s="188">
        <v>5</v>
      </c>
      <c r="W13" s="189" t="s">
        <v>125</v>
      </c>
      <c r="X13" s="189" t="s">
        <v>125</v>
      </c>
      <c r="Y13" s="189" t="s">
        <v>125</v>
      </c>
      <c r="Z13" s="188">
        <v>2909</v>
      </c>
      <c r="AA13" s="188">
        <v>2909</v>
      </c>
      <c r="AB13" s="188">
        <v>0</v>
      </c>
      <c r="AC13" s="188">
        <v>669517</v>
      </c>
      <c r="AD13" s="188">
        <v>1452</v>
      </c>
      <c r="AE13" s="190">
        <v>670969</v>
      </c>
    </row>
    <row r="14" spans="1:52" ht="15" customHeight="1">
      <c r="A14" s="187" t="s">
        <v>130</v>
      </c>
      <c r="B14" s="188">
        <v>89</v>
      </c>
      <c r="C14" s="188">
        <v>3</v>
      </c>
      <c r="D14" s="188">
        <v>0</v>
      </c>
      <c r="E14" s="188">
        <v>607</v>
      </c>
      <c r="F14" s="188">
        <v>3</v>
      </c>
      <c r="G14" s="188">
        <v>1</v>
      </c>
      <c r="H14" s="188">
        <v>696</v>
      </c>
      <c r="I14" s="188">
        <v>6</v>
      </c>
      <c r="J14" s="188">
        <v>1</v>
      </c>
      <c r="K14" s="188">
        <v>223</v>
      </c>
      <c r="L14" s="188">
        <v>1405</v>
      </c>
      <c r="M14" s="188">
        <v>1628</v>
      </c>
      <c r="N14" s="188">
        <v>7</v>
      </c>
      <c r="O14" s="188">
        <v>3</v>
      </c>
      <c r="P14" s="188">
        <v>7</v>
      </c>
      <c r="Q14" s="188">
        <v>3</v>
      </c>
      <c r="R14" s="188">
        <v>14</v>
      </c>
      <c r="S14" s="188">
        <v>6</v>
      </c>
      <c r="T14" s="188">
        <v>0</v>
      </c>
      <c r="U14" s="188">
        <v>1</v>
      </c>
      <c r="V14" s="188">
        <v>1</v>
      </c>
      <c r="W14" s="189" t="s">
        <v>125</v>
      </c>
      <c r="X14" s="189" t="s">
        <v>125</v>
      </c>
      <c r="Y14" s="189" t="s">
        <v>125</v>
      </c>
      <c r="Z14" s="188">
        <v>737</v>
      </c>
      <c r="AA14" s="188">
        <v>737</v>
      </c>
      <c r="AB14" s="188">
        <v>0</v>
      </c>
      <c r="AC14" s="188">
        <v>204408</v>
      </c>
      <c r="AD14" s="188">
        <v>592</v>
      </c>
      <c r="AE14" s="190">
        <v>205000</v>
      </c>
    </row>
    <row r="15" spans="1:52" ht="15" customHeight="1">
      <c r="A15" s="187" t="s">
        <v>131</v>
      </c>
      <c r="B15" s="188">
        <v>3774</v>
      </c>
      <c r="C15" s="188">
        <v>110</v>
      </c>
      <c r="D15" s="188">
        <v>2</v>
      </c>
      <c r="E15" s="188">
        <v>26897</v>
      </c>
      <c r="F15" s="188">
        <v>377</v>
      </c>
      <c r="G15" s="188">
        <v>121</v>
      </c>
      <c r="H15" s="188">
        <v>30671</v>
      </c>
      <c r="I15" s="188">
        <v>487</v>
      </c>
      <c r="J15" s="188">
        <v>123</v>
      </c>
      <c r="K15" s="188">
        <v>8732</v>
      </c>
      <c r="L15" s="188">
        <v>51778</v>
      </c>
      <c r="M15" s="188">
        <v>60510</v>
      </c>
      <c r="N15" s="188">
        <v>258</v>
      </c>
      <c r="O15" s="188">
        <v>162</v>
      </c>
      <c r="P15" s="188">
        <v>888</v>
      </c>
      <c r="Q15" s="188">
        <v>492</v>
      </c>
      <c r="R15" s="188">
        <v>1146</v>
      </c>
      <c r="S15" s="188">
        <v>654</v>
      </c>
      <c r="T15" s="188">
        <v>2</v>
      </c>
      <c r="U15" s="188">
        <v>163</v>
      </c>
      <c r="V15" s="188">
        <v>165</v>
      </c>
      <c r="W15" s="189" t="s">
        <v>125</v>
      </c>
      <c r="X15" s="189" t="s">
        <v>125</v>
      </c>
      <c r="Y15" s="189" t="s">
        <v>125</v>
      </c>
      <c r="Z15" s="188">
        <v>36603</v>
      </c>
      <c r="AA15" s="188">
        <v>36603</v>
      </c>
      <c r="AB15" s="188">
        <v>0</v>
      </c>
      <c r="AC15" s="188">
        <v>8737565</v>
      </c>
      <c r="AD15" s="188">
        <v>80747</v>
      </c>
      <c r="AE15" s="190">
        <v>8818312</v>
      </c>
    </row>
    <row r="16" spans="1:52" s="191" customFormat="1" ht="15" customHeight="1">
      <c r="A16" s="187" t="s">
        <v>132</v>
      </c>
      <c r="B16" s="188">
        <v>377</v>
      </c>
      <c r="C16" s="188">
        <v>0</v>
      </c>
      <c r="D16" s="188">
        <v>0</v>
      </c>
      <c r="E16" s="188">
        <v>2185</v>
      </c>
      <c r="F16" s="188">
        <v>0</v>
      </c>
      <c r="G16" s="188">
        <v>1</v>
      </c>
      <c r="H16" s="188">
        <v>2562</v>
      </c>
      <c r="I16" s="188">
        <v>0</v>
      </c>
      <c r="J16" s="188">
        <v>1</v>
      </c>
      <c r="K16" s="188">
        <v>1084</v>
      </c>
      <c r="L16" s="188">
        <v>4183</v>
      </c>
      <c r="M16" s="188">
        <v>5267</v>
      </c>
      <c r="N16" s="188">
        <v>0</v>
      </c>
      <c r="O16" s="188">
        <v>0</v>
      </c>
      <c r="P16" s="188">
        <v>0</v>
      </c>
      <c r="Q16" s="188">
        <v>0</v>
      </c>
      <c r="R16" s="188">
        <v>0</v>
      </c>
      <c r="S16" s="188">
        <v>0</v>
      </c>
      <c r="T16" s="188">
        <v>0</v>
      </c>
      <c r="U16" s="188">
        <v>2</v>
      </c>
      <c r="V16" s="188">
        <v>2</v>
      </c>
      <c r="W16" s="189" t="s">
        <v>125</v>
      </c>
      <c r="X16" s="189" t="s">
        <v>125</v>
      </c>
      <c r="Y16" s="189" t="s">
        <v>125</v>
      </c>
      <c r="Z16" s="188">
        <v>2679</v>
      </c>
      <c r="AA16" s="188">
        <v>2679</v>
      </c>
      <c r="AB16" s="188">
        <v>0</v>
      </c>
      <c r="AC16" s="188">
        <v>689781</v>
      </c>
      <c r="AD16" s="188">
        <v>357</v>
      </c>
      <c r="AE16" s="190">
        <v>690138</v>
      </c>
      <c r="AY16" s="192"/>
      <c r="AZ16" s="192"/>
    </row>
    <row r="17" spans="1:52" s="191" customFormat="1" ht="15" customHeight="1">
      <c r="A17" s="187" t="s">
        <v>133</v>
      </c>
      <c r="B17" s="188">
        <v>521</v>
      </c>
      <c r="C17" s="188">
        <v>2</v>
      </c>
      <c r="D17" s="188">
        <v>0</v>
      </c>
      <c r="E17" s="188">
        <v>6278</v>
      </c>
      <c r="F17" s="188">
        <v>31</v>
      </c>
      <c r="G17" s="188">
        <v>9</v>
      </c>
      <c r="H17" s="188">
        <v>6799</v>
      </c>
      <c r="I17" s="188">
        <v>33</v>
      </c>
      <c r="J17" s="188">
        <v>9</v>
      </c>
      <c r="K17" s="188">
        <v>1266</v>
      </c>
      <c r="L17" s="188">
        <v>10767</v>
      </c>
      <c r="M17" s="188">
        <v>12033</v>
      </c>
      <c r="N17" s="188">
        <v>2</v>
      </c>
      <c r="O17" s="188">
        <v>2</v>
      </c>
      <c r="P17" s="188">
        <v>84</v>
      </c>
      <c r="Q17" s="188">
        <v>38</v>
      </c>
      <c r="R17" s="188">
        <v>86</v>
      </c>
      <c r="S17" s="188">
        <v>40</v>
      </c>
      <c r="T17" s="188">
        <v>0</v>
      </c>
      <c r="U17" s="188">
        <v>11</v>
      </c>
      <c r="V17" s="188">
        <v>11</v>
      </c>
      <c r="W17" s="189" t="s">
        <v>125</v>
      </c>
      <c r="X17" s="189" t="s">
        <v>125</v>
      </c>
      <c r="Y17" s="189" t="s">
        <v>125</v>
      </c>
      <c r="Z17" s="188">
        <v>7117</v>
      </c>
      <c r="AA17" s="188">
        <v>7117</v>
      </c>
      <c r="AB17" s="188">
        <v>0</v>
      </c>
      <c r="AC17" s="188">
        <v>1594957</v>
      </c>
      <c r="AD17" s="188">
        <v>4186</v>
      </c>
      <c r="AE17" s="190">
        <v>1599143</v>
      </c>
      <c r="AY17" s="192"/>
      <c r="AZ17" s="192"/>
    </row>
    <row r="18" spans="1:52" s="191" customFormat="1" ht="15" customHeight="1">
      <c r="A18" s="187" t="s">
        <v>134</v>
      </c>
      <c r="B18" s="188">
        <v>11980</v>
      </c>
      <c r="C18" s="188">
        <v>189</v>
      </c>
      <c r="D18" s="188">
        <v>16</v>
      </c>
      <c r="E18" s="188">
        <v>76482</v>
      </c>
      <c r="F18" s="188">
        <v>673</v>
      </c>
      <c r="G18" s="188">
        <v>204</v>
      </c>
      <c r="H18" s="188">
        <v>88462</v>
      </c>
      <c r="I18" s="188">
        <v>862</v>
      </c>
      <c r="J18" s="188">
        <v>220</v>
      </c>
      <c r="K18" s="188">
        <v>32508</v>
      </c>
      <c r="L18" s="188">
        <v>171746</v>
      </c>
      <c r="M18" s="188">
        <v>204254</v>
      </c>
      <c r="N18" s="188">
        <v>491</v>
      </c>
      <c r="O18" s="188">
        <v>230</v>
      </c>
      <c r="P18" s="188">
        <v>1821</v>
      </c>
      <c r="Q18" s="188">
        <v>780</v>
      </c>
      <c r="R18" s="188">
        <v>2312</v>
      </c>
      <c r="S18" s="188">
        <v>1010</v>
      </c>
      <c r="T18" s="188">
        <v>27</v>
      </c>
      <c r="U18" s="188">
        <v>259</v>
      </c>
      <c r="V18" s="188">
        <v>286</v>
      </c>
      <c r="W18" s="189" t="s">
        <v>125</v>
      </c>
      <c r="X18" s="189" t="s">
        <v>125</v>
      </c>
      <c r="Y18" s="189" t="s">
        <v>125</v>
      </c>
      <c r="Z18" s="188">
        <v>102544</v>
      </c>
      <c r="AA18" s="188">
        <v>102544</v>
      </c>
      <c r="AB18" s="188">
        <v>0</v>
      </c>
      <c r="AC18" s="188">
        <v>30196401</v>
      </c>
      <c r="AD18" s="188">
        <v>160417</v>
      </c>
      <c r="AE18" s="190">
        <v>30356818</v>
      </c>
      <c r="AY18" s="192"/>
      <c r="AZ18" s="192"/>
    </row>
    <row r="19" spans="1:52" s="191" customFormat="1" ht="15" customHeight="1">
      <c r="A19" s="187" t="s">
        <v>135</v>
      </c>
      <c r="B19" s="188">
        <v>193</v>
      </c>
      <c r="C19" s="188">
        <v>0</v>
      </c>
      <c r="D19" s="188">
        <v>0</v>
      </c>
      <c r="E19" s="188">
        <v>1305</v>
      </c>
      <c r="F19" s="188">
        <v>9</v>
      </c>
      <c r="G19" s="188">
        <v>0</v>
      </c>
      <c r="H19" s="188">
        <v>1498</v>
      </c>
      <c r="I19" s="188">
        <v>9</v>
      </c>
      <c r="J19" s="188">
        <v>0</v>
      </c>
      <c r="K19" s="188">
        <v>505</v>
      </c>
      <c r="L19" s="188">
        <v>2918</v>
      </c>
      <c r="M19" s="188">
        <v>3423</v>
      </c>
      <c r="N19" s="188">
        <v>0</v>
      </c>
      <c r="O19" s="188">
        <v>0</v>
      </c>
      <c r="P19" s="188">
        <v>27</v>
      </c>
      <c r="Q19" s="188">
        <v>9</v>
      </c>
      <c r="R19" s="188">
        <v>27</v>
      </c>
      <c r="S19" s="188">
        <v>9</v>
      </c>
      <c r="T19" s="188">
        <v>0</v>
      </c>
      <c r="U19" s="188">
        <v>0</v>
      </c>
      <c r="V19" s="188">
        <v>0</v>
      </c>
      <c r="W19" s="189" t="s">
        <v>125</v>
      </c>
      <c r="X19" s="189" t="s">
        <v>125</v>
      </c>
      <c r="Y19" s="189" t="s">
        <v>125</v>
      </c>
      <c r="Z19" s="188">
        <v>1630</v>
      </c>
      <c r="AA19" s="188">
        <v>1630</v>
      </c>
      <c r="AB19" s="188">
        <v>0</v>
      </c>
      <c r="AC19" s="188">
        <v>428269</v>
      </c>
      <c r="AD19" s="188">
        <v>641</v>
      </c>
      <c r="AE19" s="190">
        <v>428910</v>
      </c>
      <c r="AY19" s="192"/>
      <c r="AZ19" s="192"/>
    </row>
    <row r="20" spans="1:52" s="191" customFormat="1" ht="15" customHeight="1">
      <c r="A20" s="187" t="s">
        <v>136</v>
      </c>
      <c r="B20" s="188">
        <v>875</v>
      </c>
      <c r="C20" s="188">
        <v>3</v>
      </c>
      <c r="D20" s="188">
        <v>0</v>
      </c>
      <c r="E20" s="188">
        <v>11257</v>
      </c>
      <c r="F20" s="188">
        <v>26</v>
      </c>
      <c r="G20" s="188">
        <v>6</v>
      </c>
      <c r="H20" s="188">
        <v>12132</v>
      </c>
      <c r="I20" s="188">
        <v>29</v>
      </c>
      <c r="J20" s="188">
        <v>6</v>
      </c>
      <c r="K20" s="188">
        <v>2207</v>
      </c>
      <c r="L20" s="188">
        <v>18215</v>
      </c>
      <c r="M20" s="188">
        <v>20422</v>
      </c>
      <c r="N20" s="188">
        <v>3</v>
      </c>
      <c r="O20" s="188">
        <v>4</v>
      </c>
      <c r="P20" s="188">
        <v>58</v>
      </c>
      <c r="Q20" s="188">
        <v>31</v>
      </c>
      <c r="R20" s="188">
        <v>61</v>
      </c>
      <c r="S20" s="188">
        <v>35</v>
      </c>
      <c r="T20" s="188">
        <v>0</v>
      </c>
      <c r="U20" s="188">
        <v>7</v>
      </c>
      <c r="V20" s="188">
        <v>7</v>
      </c>
      <c r="W20" s="189" t="s">
        <v>125</v>
      </c>
      <c r="X20" s="189" t="s">
        <v>125</v>
      </c>
      <c r="Y20" s="189" t="s">
        <v>125</v>
      </c>
      <c r="Z20" s="188">
        <v>12798</v>
      </c>
      <c r="AA20" s="188">
        <v>12798</v>
      </c>
      <c r="AB20" s="188">
        <v>0</v>
      </c>
      <c r="AC20" s="188">
        <v>2860167</v>
      </c>
      <c r="AD20" s="188">
        <v>5908</v>
      </c>
      <c r="AE20" s="190">
        <v>2866075</v>
      </c>
      <c r="AY20" s="192"/>
      <c r="AZ20" s="192"/>
    </row>
    <row r="21" spans="1:52" s="191" customFormat="1" ht="15" customHeight="1">
      <c r="A21" s="187" t="s">
        <v>137</v>
      </c>
      <c r="B21" s="188">
        <v>2225</v>
      </c>
      <c r="C21" s="188">
        <v>31</v>
      </c>
      <c r="D21" s="188">
        <v>2</v>
      </c>
      <c r="E21" s="188">
        <v>14444</v>
      </c>
      <c r="F21" s="188">
        <v>324</v>
      </c>
      <c r="G21" s="188">
        <v>55</v>
      </c>
      <c r="H21" s="188">
        <v>16669</v>
      </c>
      <c r="I21" s="188">
        <v>355</v>
      </c>
      <c r="J21" s="188">
        <v>57</v>
      </c>
      <c r="K21" s="188">
        <v>6282</v>
      </c>
      <c r="L21" s="188">
        <v>33615</v>
      </c>
      <c r="M21" s="188">
        <v>39897</v>
      </c>
      <c r="N21" s="188">
        <v>84</v>
      </c>
      <c r="O21" s="188">
        <v>31</v>
      </c>
      <c r="P21" s="188">
        <v>899</v>
      </c>
      <c r="Q21" s="188">
        <v>351</v>
      </c>
      <c r="R21" s="188">
        <v>983</v>
      </c>
      <c r="S21" s="188">
        <v>382</v>
      </c>
      <c r="T21" s="188">
        <v>2</v>
      </c>
      <c r="U21" s="188">
        <v>59</v>
      </c>
      <c r="V21" s="188">
        <v>61</v>
      </c>
      <c r="W21" s="189" t="s">
        <v>125</v>
      </c>
      <c r="X21" s="189" t="s">
        <v>125</v>
      </c>
      <c r="Y21" s="189" t="s">
        <v>125</v>
      </c>
      <c r="Z21" s="188">
        <v>17840</v>
      </c>
      <c r="AA21" s="188">
        <v>17840</v>
      </c>
      <c r="AB21" s="188">
        <v>0</v>
      </c>
      <c r="AC21" s="188">
        <v>5119239</v>
      </c>
      <c r="AD21" s="188">
        <v>41494</v>
      </c>
      <c r="AE21" s="190">
        <v>5160733</v>
      </c>
      <c r="AY21" s="192"/>
      <c r="AZ21" s="192"/>
    </row>
    <row r="22" spans="1:52" s="191" customFormat="1" ht="15" customHeight="1">
      <c r="A22" s="187" t="s">
        <v>138</v>
      </c>
      <c r="B22" s="188">
        <v>85</v>
      </c>
      <c r="C22" s="188">
        <v>1</v>
      </c>
      <c r="D22" s="188">
        <v>0</v>
      </c>
      <c r="E22" s="188">
        <v>948</v>
      </c>
      <c r="F22" s="188">
        <v>4</v>
      </c>
      <c r="G22" s="188">
        <v>2</v>
      </c>
      <c r="H22" s="188">
        <v>1033</v>
      </c>
      <c r="I22" s="188">
        <v>5</v>
      </c>
      <c r="J22" s="188">
        <v>2</v>
      </c>
      <c r="K22" s="188">
        <v>232</v>
      </c>
      <c r="L22" s="188">
        <v>1739</v>
      </c>
      <c r="M22" s="188">
        <v>1971</v>
      </c>
      <c r="N22" s="188">
        <v>2</v>
      </c>
      <c r="O22" s="188">
        <v>1</v>
      </c>
      <c r="P22" s="188">
        <v>7</v>
      </c>
      <c r="Q22" s="188">
        <v>5</v>
      </c>
      <c r="R22" s="188">
        <v>9</v>
      </c>
      <c r="S22" s="188">
        <v>6</v>
      </c>
      <c r="T22" s="188">
        <v>0</v>
      </c>
      <c r="U22" s="188">
        <v>2</v>
      </c>
      <c r="V22" s="188">
        <v>2</v>
      </c>
      <c r="W22" s="189" t="s">
        <v>125</v>
      </c>
      <c r="X22" s="189" t="s">
        <v>125</v>
      </c>
      <c r="Y22" s="189" t="s">
        <v>125</v>
      </c>
      <c r="Z22" s="188">
        <v>1078</v>
      </c>
      <c r="AA22" s="188">
        <v>1078</v>
      </c>
      <c r="AB22" s="188">
        <v>0</v>
      </c>
      <c r="AC22" s="188">
        <v>257511</v>
      </c>
      <c r="AD22" s="188">
        <v>758</v>
      </c>
      <c r="AE22" s="190">
        <v>258269</v>
      </c>
      <c r="AY22" s="192"/>
      <c r="AZ22" s="192"/>
    </row>
    <row r="23" spans="1:52" s="191" customFormat="1" ht="15" customHeight="1">
      <c r="A23" s="187" t="s">
        <v>139</v>
      </c>
      <c r="B23" s="188">
        <v>9731</v>
      </c>
      <c r="C23" s="188">
        <v>58</v>
      </c>
      <c r="D23" s="188">
        <v>2</v>
      </c>
      <c r="E23" s="188">
        <v>58602</v>
      </c>
      <c r="F23" s="188">
        <v>464</v>
      </c>
      <c r="G23" s="188">
        <v>254</v>
      </c>
      <c r="H23" s="188">
        <v>68333</v>
      </c>
      <c r="I23" s="188">
        <v>522</v>
      </c>
      <c r="J23" s="188">
        <v>256</v>
      </c>
      <c r="K23" s="188">
        <v>25963</v>
      </c>
      <c r="L23" s="188">
        <v>132430</v>
      </c>
      <c r="M23" s="188">
        <v>158393</v>
      </c>
      <c r="N23" s="188">
        <v>148</v>
      </c>
      <c r="O23" s="188">
        <v>67</v>
      </c>
      <c r="P23" s="188">
        <v>1291</v>
      </c>
      <c r="Q23" s="188">
        <v>510</v>
      </c>
      <c r="R23" s="188">
        <v>1439</v>
      </c>
      <c r="S23" s="188">
        <v>577</v>
      </c>
      <c r="T23" s="188">
        <v>2</v>
      </c>
      <c r="U23" s="188">
        <v>402</v>
      </c>
      <c r="V23" s="188">
        <v>404</v>
      </c>
      <c r="W23" s="189" t="s">
        <v>125</v>
      </c>
      <c r="X23" s="189" t="s">
        <v>125</v>
      </c>
      <c r="Y23" s="189" t="s">
        <v>125</v>
      </c>
      <c r="Z23" s="188">
        <v>72628</v>
      </c>
      <c r="AA23" s="188">
        <v>72628</v>
      </c>
      <c r="AB23" s="188">
        <v>0</v>
      </c>
      <c r="AC23" s="188">
        <v>21110384</v>
      </c>
      <c r="AD23" s="188">
        <v>125425</v>
      </c>
      <c r="AE23" s="190">
        <v>21235809</v>
      </c>
      <c r="AY23" s="192"/>
      <c r="AZ23" s="192"/>
    </row>
    <row r="24" spans="1:52" s="191" customFormat="1" ht="15" customHeight="1">
      <c r="A24" s="187" t="s">
        <v>140</v>
      </c>
      <c r="B24" s="188">
        <v>1468</v>
      </c>
      <c r="C24" s="188">
        <v>15</v>
      </c>
      <c r="D24" s="188">
        <v>0</v>
      </c>
      <c r="E24" s="188">
        <v>9049</v>
      </c>
      <c r="F24" s="188">
        <v>127</v>
      </c>
      <c r="G24" s="188">
        <v>31</v>
      </c>
      <c r="H24" s="188">
        <v>10517</v>
      </c>
      <c r="I24" s="188">
        <v>142</v>
      </c>
      <c r="J24" s="188">
        <v>31</v>
      </c>
      <c r="K24" s="188">
        <v>4013</v>
      </c>
      <c r="L24" s="188">
        <v>19671</v>
      </c>
      <c r="M24" s="188">
        <v>23684</v>
      </c>
      <c r="N24" s="188">
        <v>37</v>
      </c>
      <c r="O24" s="188">
        <v>15</v>
      </c>
      <c r="P24" s="188">
        <v>382</v>
      </c>
      <c r="Q24" s="188">
        <v>135</v>
      </c>
      <c r="R24" s="188">
        <v>419</v>
      </c>
      <c r="S24" s="188">
        <v>150</v>
      </c>
      <c r="T24" s="188">
        <v>0</v>
      </c>
      <c r="U24" s="188">
        <v>40</v>
      </c>
      <c r="V24" s="188">
        <v>40</v>
      </c>
      <c r="W24" s="189" t="s">
        <v>125</v>
      </c>
      <c r="X24" s="189" t="s">
        <v>125</v>
      </c>
      <c r="Y24" s="189" t="s">
        <v>125</v>
      </c>
      <c r="Z24" s="188">
        <v>11241</v>
      </c>
      <c r="AA24" s="188">
        <v>11241</v>
      </c>
      <c r="AB24" s="188">
        <v>0</v>
      </c>
      <c r="AC24" s="188">
        <v>3050135</v>
      </c>
      <c r="AD24" s="188">
        <v>20355</v>
      </c>
      <c r="AE24" s="190">
        <v>3070490</v>
      </c>
      <c r="AY24" s="192"/>
      <c r="AZ24" s="192"/>
    </row>
    <row r="25" spans="1:52" s="191" customFormat="1" ht="15" customHeight="1">
      <c r="A25" s="187" t="s">
        <v>141</v>
      </c>
      <c r="B25" s="188">
        <v>551</v>
      </c>
      <c r="C25" s="188">
        <v>4</v>
      </c>
      <c r="D25" s="188">
        <v>0</v>
      </c>
      <c r="E25" s="188">
        <v>5847</v>
      </c>
      <c r="F25" s="188">
        <v>21</v>
      </c>
      <c r="G25" s="188">
        <v>5</v>
      </c>
      <c r="H25" s="188">
        <v>6398</v>
      </c>
      <c r="I25" s="188">
        <v>25</v>
      </c>
      <c r="J25" s="188">
        <v>5</v>
      </c>
      <c r="K25" s="188">
        <v>1430</v>
      </c>
      <c r="L25" s="188">
        <v>10478</v>
      </c>
      <c r="M25" s="188">
        <v>11908</v>
      </c>
      <c r="N25" s="188">
        <v>9</v>
      </c>
      <c r="O25" s="188">
        <v>4</v>
      </c>
      <c r="P25" s="188">
        <v>48</v>
      </c>
      <c r="Q25" s="188">
        <v>24</v>
      </c>
      <c r="R25" s="188">
        <v>57</v>
      </c>
      <c r="S25" s="188">
        <v>28</v>
      </c>
      <c r="T25" s="188">
        <v>0</v>
      </c>
      <c r="U25" s="188">
        <v>8</v>
      </c>
      <c r="V25" s="188">
        <v>8</v>
      </c>
      <c r="W25" s="189" t="s">
        <v>125</v>
      </c>
      <c r="X25" s="189" t="s">
        <v>125</v>
      </c>
      <c r="Y25" s="189" t="s">
        <v>125</v>
      </c>
      <c r="Z25" s="188">
        <v>6798</v>
      </c>
      <c r="AA25" s="188">
        <v>6798</v>
      </c>
      <c r="AB25" s="188">
        <v>0</v>
      </c>
      <c r="AC25" s="188">
        <v>1613856</v>
      </c>
      <c r="AD25" s="188">
        <v>3629</v>
      </c>
      <c r="AE25" s="190">
        <v>1617485</v>
      </c>
      <c r="AY25" s="192"/>
      <c r="AZ25" s="192"/>
    </row>
    <row r="26" spans="1:52" s="191" customFormat="1" ht="15" customHeight="1">
      <c r="A26" s="187" t="s">
        <v>142</v>
      </c>
      <c r="B26" s="188">
        <v>230</v>
      </c>
      <c r="C26" s="188">
        <v>0</v>
      </c>
      <c r="D26" s="188">
        <v>0</v>
      </c>
      <c r="E26" s="188">
        <v>1342</v>
      </c>
      <c r="F26" s="188">
        <v>4</v>
      </c>
      <c r="G26" s="188">
        <v>0</v>
      </c>
      <c r="H26" s="188">
        <v>1572</v>
      </c>
      <c r="I26" s="188">
        <v>4</v>
      </c>
      <c r="J26" s="188">
        <v>0</v>
      </c>
      <c r="K26" s="188">
        <v>625</v>
      </c>
      <c r="L26" s="188">
        <v>2483</v>
      </c>
      <c r="M26" s="188">
        <v>3108</v>
      </c>
      <c r="N26" s="188">
        <v>0</v>
      </c>
      <c r="O26" s="188">
        <v>0</v>
      </c>
      <c r="P26" s="188">
        <v>10</v>
      </c>
      <c r="Q26" s="188">
        <v>5</v>
      </c>
      <c r="R26" s="188">
        <v>10</v>
      </c>
      <c r="S26" s="188">
        <v>5</v>
      </c>
      <c r="T26" s="188">
        <v>0</v>
      </c>
      <c r="U26" s="188">
        <v>0</v>
      </c>
      <c r="V26" s="188">
        <v>0</v>
      </c>
      <c r="W26" s="189" t="s">
        <v>125</v>
      </c>
      <c r="X26" s="189" t="s">
        <v>125</v>
      </c>
      <c r="Y26" s="189" t="s">
        <v>125</v>
      </c>
      <c r="Z26" s="188">
        <v>1706</v>
      </c>
      <c r="AA26" s="188">
        <v>1706</v>
      </c>
      <c r="AB26" s="188">
        <v>0</v>
      </c>
      <c r="AC26" s="188">
        <v>428582</v>
      </c>
      <c r="AD26" s="188">
        <v>398</v>
      </c>
      <c r="AE26" s="190">
        <v>428980</v>
      </c>
      <c r="AY26" s="192"/>
      <c r="AZ26" s="192"/>
    </row>
    <row r="27" spans="1:52" s="191" customFormat="1" ht="15" customHeight="1">
      <c r="A27" s="187" t="s">
        <v>143</v>
      </c>
      <c r="B27" s="188">
        <v>82474</v>
      </c>
      <c r="C27" s="188">
        <v>2223</v>
      </c>
      <c r="D27" s="188">
        <v>240</v>
      </c>
      <c r="E27" s="188">
        <v>437283</v>
      </c>
      <c r="F27" s="188">
        <v>5128</v>
      </c>
      <c r="G27" s="188">
        <v>3231</v>
      </c>
      <c r="H27" s="188">
        <v>519757</v>
      </c>
      <c r="I27" s="188">
        <v>7351</v>
      </c>
      <c r="J27" s="188">
        <v>3471</v>
      </c>
      <c r="K27" s="188">
        <v>201601</v>
      </c>
      <c r="L27" s="188">
        <v>835875</v>
      </c>
      <c r="M27" s="188">
        <v>1037476</v>
      </c>
      <c r="N27" s="188">
        <v>4657</v>
      </c>
      <c r="O27" s="188">
        <v>3087</v>
      </c>
      <c r="P27" s="188">
        <v>11841</v>
      </c>
      <c r="Q27" s="188">
        <v>6384</v>
      </c>
      <c r="R27" s="188">
        <v>16498</v>
      </c>
      <c r="S27" s="188">
        <v>9471</v>
      </c>
      <c r="T27" s="188">
        <v>292</v>
      </c>
      <c r="U27" s="188">
        <v>4159</v>
      </c>
      <c r="V27" s="188">
        <v>4451</v>
      </c>
      <c r="W27" s="189" t="s">
        <v>125</v>
      </c>
      <c r="X27" s="189" t="s">
        <v>125</v>
      </c>
      <c r="Y27" s="189" t="s">
        <v>125</v>
      </c>
      <c r="Z27" s="188">
        <v>562045</v>
      </c>
      <c r="AA27" s="188">
        <v>562045</v>
      </c>
      <c r="AB27" s="188">
        <v>0</v>
      </c>
      <c r="AC27" s="188">
        <v>151254916</v>
      </c>
      <c r="AD27" s="188">
        <v>1713486</v>
      </c>
      <c r="AE27" s="190">
        <v>152968402</v>
      </c>
      <c r="AY27" s="192"/>
      <c r="AZ27" s="192"/>
    </row>
    <row r="28" spans="1:52" s="191" customFormat="1" ht="15" customHeight="1">
      <c r="A28" s="187" t="s">
        <v>144</v>
      </c>
      <c r="B28" s="188">
        <v>1772</v>
      </c>
      <c r="C28" s="188">
        <v>16</v>
      </c>
      <c r="D28" s="188">
        <v>1</v>
      </c>
      <c r="E28" s="188">
        <v>9804</v>
      </c>
      <c r="F28" s="188">
        <v>65</v>
      </c>
      <c r="G28" s="188">
        <v>7</v>
      </c>
      <c r="H28" s="188">
        <v>11576</v>
      </c>
      <c r="I28" s="188">
        <v>81</v>
      </c>
      <c r="J28" s="188">
        <v>8</v>
      </c>
      <c r="K28" s="188">
        <v>4843</v>
      </c>
      <c r="L28" s="188">
        <v>23127</v>
      </c>
      <c r="M28" s="188">
        <v>27970</v>
      </c>
      <c r="N28" s="188">
        <v>45</v>
      </c>
      <c r="O28" s="188">
        <v>16</v>
      </c>
      <c r="P28" s="188">
        <v>196</v>
      </c>
      <c r="Q28" s="188">
        <v>69</v>
      </c>
      <c r="R28" s="188">
        <v>241</v>
      </c>
      <c r="S28" s="188">
        <v>85</v>
      </c>
      <c r="T28" s="188">
        <v>1</v>
      </c>
      <c r="U28" s="188">
        <v>12</v>
      </c>
      <c r="V28" s="188">
        <v>13</v>
      </c>
      <c r="W28" s="189" t="s">
        <v>125</v>
      </c>
      <c r="X28" s="189" t="s">
        <v>125</v>
      </c>
      <c r="Y28" s="189" t="s">
        <v>125</v>
      </c>
      <c r="Z28" s="188">
        <v>8804</v>
      </c>
      <c r="AA28" s="188">
        <v>8804</v>
      </c>
      <c r="AB28" s="188">
        <v>0</v>
      </c>
      <c r="AC28" s="188">
        <v>3720468</v>
      </c>
      <c r="AD28" s="188">
        <v>10766</v>
      </c>
      <c r="AE28" s="190">
        <v>3731234</v>
      </c>
      <c r="AY28" s="192"/>
      <c r="AZ28" s="192"/>
    </row>
    <row r="29" spans="1:52" s="191" customFormat="1" ht="15" customHeight="1">
      <c r="A29" s="187" t="s">
        <v>145</v>
      </c>
      <c r="B29" s="188">
        <v>528</v>
      </c>
      <c r="C29" s="188">
        <v>32</v>
      </c>
      <c r="D29" s="188">
        <v>3</v>
      </c>
      <c r="E29" s="188">
        <v>5081</v>
      </c>
      <c r="F29" s="188">
        <v>235</v>
      </c>
      <c r="G29" s="188">
        <v>66</v>
      </c>
      <c r="H29" s="188">
        <v>5609</v>
      </c>
      <c r="I29" s="188">
        <v>267</v>
      </c>
      <c r="J29" s="188">
        <v>69</v>
      </c>
      <c r="K29" s="188">
        <v>1139</v>
      </c>
      <c r="L29" s="188">
        <v>7738</v>
      </c>
      <c r="M29" s="188">
        <v>8877</v>
      </c>
      <c r="N29" s="188">
        <v>67</v>
      </c>
      <c r="O29" s="188">
        <v>36</v>
      </c>
      <c r="P29" s="188">
        <v>475</v>
      </c>
      <c r="Q29" s="188">
        <v>287</v>
      </c>
      <c r="R29" s="188">
        <v>542</v>
      </c>
      <c r="S29" s="188">
        <v>323</v>
      </c>
      <c r="T29" s="188">
        <v>3</v>
      </c>
      <c r="U29" s="188">
        <v>82</v>
      </c>
      <c r="V29" s="188">
        <v>85</v>
      </c>
      <c r="W29" s="189" t="s">
        <v>125</v>
      </c>
      <c r="X29" s="189" t="s">
        <v>125</v>
      </c>
      <c r="Y29" s="189" t="s">
        <v>125</v>
      </c>
      <c r="Z29" s="188">
        <v>6172</v>
      </c>
      <c r="AA29" s="188">
        <v>6172</v>
      </c>
      <c r="AB29" s="188">
        <v>0</v>
      </c>
      <c r="AC29" s="188">
        <v>1336015</v>
      </c>
      <c r="AD29" s="188">
        <v>35412</v>
      </c>
      <c r="AE29" s="190">
        <v>1371427</v>
      </c>
      <c r="AY29" s="192"/>
      <c r="AZ29" s="192"/>
    </row>
    <row r="30" spans="1:52" s="191" customFormat="1" ht="15" customHeight="1">
      <c r="A30" s="187" t="s">
        <v>146</v>
      </c>
      <c r="B30" s="188">
        <v>77</v>
      </c>
      <c r="C30" s="188">
        <v>0</v>
      </c>
      <c r="D30" s="188">
        <v>0</v>
      </c>
      <c r="E30" s="188">
        <v>933</v>
      </c>
      <c r="F30" s="188">
        <v>3</v>
      </c>
      <c r="G30" s="188">
        <v>1</v>
      </c>
      <c r="H30" s="188">
        <v>1010</v>
      </c>
      <c r="I30" s="188">
        <v>3</v>
      </c>
      <c r="J30" s="188">
        <v>1</v>
      </c>
      <c r="K30" s="188">
        <v>209</v>
      </c>
      <c r="L30" s="188">
        <v>1615</v>
      </c>
      <c r="M30" s="188">
        <v>1824</v>
      </c>
      <c r="N30" s="188">
        <v>0</v>
      </c>
      <c r="O30" s="188">
        <v>0</v>
      </c>
      <c r="P30" s="188">
        <v>6</v>
      </c>
      <c r="Q30" s="188">
        <v>3</v>
      </c>
      <c r="R30" s="188">
        <v>6</v>
      </c>
      <c r="S30" s="188">
        <v>3</v>
      </c>
      <c r="T30" s="188">
        <v>0</v>
      </c>
      <c r="U30" s="188">
        <v>1</v>
      </c>
      <c r="V30" s="188">
        <v>1</v>
      </c>
      <c r="W30" s="189" t="s">
        <v>125</v>
      </c>
      <c r="X30" s="189" t="s">
        <v>125</v>
      </c>
      <c r="Y30" s="189" t="s">
        <v>125</v>
      </c>
      <c r="Z30" s="188">
        <v>1060</v>
      </c>
      <c r="AA30" s="188">
        <v>1060</v>
      </c>
      <c r="AB30" s="188">
        <v>0</v>
      </c>
      <c r="AC30" s="188">
        <v>247020</v>
      </c>
      <c r="AD30" s="188">
        <v>375</v>
      </c>
      <c r="AE30" s="190">
        <v>247395</v>
      </c>
      <c r="AY30" s="192"/>
      <c r="AZ30" s="192"/>
    </row>
    <row r="31" spans="1:52" s="191" customFormat="1" ht="15" customHeight="1">
      <c r="A31" s="187" t="s">
        <v>147</v>
      </c>
      <c r="B31" s="188">
        <v>521</v>
      </c>
      <c r="C31" s="188">
        <v>4</v>
      </c>
      <c r="D31" s="188">
        <v>0</v>
      </c>
      <c r="E31" s="188">
        <v>5609</v>
      </c>
      <c r="F31" s="188">
        <v>38</v>
      </c>
      <c r="G31" s="188">
        <v>12</v>
      </c>
      <c r="H31" s="188">
        <v>6130</v>
      </c>
      <c r="I31" s="188">
        <v>42</v>
      </c>
      <c r="J31" s="188">
        <v>12</v>
      </c>
      <c r="K31" s="188">
        <v>1305</v>
      </c>
      <c r="L31" s="188">
        <v>10193</v>
      </c>
      <c r="M31" s="188">
        <v>11498</v>
      </c>
      <c r="N31" s="188">
        <v>15</v>
      </c>
      <c r="O31" s="188">
        <v>5</v>
      </c>
      <c r="P31" s="188">
        <v>93</v>
      </c>
      <c r="Q31" s="188">
        <v>42</v>
      </c>
      <c r="R31" s="188">
        <v>108</v>
      </c>
      <c r="S31" s="188">
        <v>47</v>
      </c>
      <c r="T31" s="188">
        <v>0</v>
      </c>
      <c r="U31" s="188">
        <v>14</v>
      </c>
      <c r="V31" s="188">
        <v>14</v>
      </c>
      <c r="W31" s="189" t="s">
        <v>125</v>
      </c>
      <c r="X31" s="189" t="s">
        <v>125</v>
      </c>
      <c r="Y31" s="189" t="s">
        <v>125</v>
      </c>
      <c r="Z31" s="188">
        <v>6541</v>
      </c>
      <c r="AA31" s="188">
        <v>6541</v>
      </c>
      <c r="AB31" s="188">
        <v>0</v>
      </c>
      <c r="AC31" s="188">
        <v>1623505</v>
      </c>
      <c r="AD31" s="188">
        <v>6559</v>
      </c>
      <c r="AE31" s="190">
        <v>1630064</v>
      </c>
      <c r="AY31" s="192"/>
      <c r="AZ31" s="192"/>
    </row>
    <row r="32" spans="1:52" s="191" customFormat="1" ht="15" customHeight="1">
      <c r="A32" s="187" t="s">
        <v>148</v>
      </c>
      <c r="B32" s="188">
        <v>3580</v>
      </c>
      <c r="C32" s="188">
        <v>15</v>
      </c>
      <c r="D32" s="188">
        <v>0</v>
      </c>
      <c r="E32" s="188">
        <v>20063</v>
      </c>
      <c r="F32" s="188">
        <v>79</v>
      </c>
      <c r="G32" s="188">
        <v>17</v>
      </c>
      <c r="H32" s="188">
        <v>23643</v>
      </c>
      <c r="I32" s="188">
        <v>94</v>
      </c>
      <c r="J32" s="188">
        <v>17</v>
      </c>
      <c r="K32" s="188">
        <v>9664</v>
      </c>
      <c r="L32" s="188">
        <v>44927</v>
      </c>
      <c r="M32" s="188">
        <v>54591</v>
      </c>
      <c r="N32" s="188">
        <v>34</v>
      </c>
      <c r="O32" s="188">
        <v>19</v>
      </c>
      <c r="P32" s="188">
        <v>231</v>
      </c>
      <c r="Q32" s="188">
        <v>87</v>
      </c>
      <c r="R32" s="188">
        <v>265</v>
      </c>
      <c r="S32" s="188">
        <v>106</v>
      </c>
      <c r="T32" s="188">
        <v>0</v>
      </c>
      <c r="U32" s="188">
        <v>17</v>
      </c>
      <c r="V32" s="188">
        <v>17</v>
      </c>
      <c r="W32" s="189" t="s">
        <v>125</v>
      </c>
      <c r="X32" s="189" t="s">
        <v>125</v>
      </c>
      <c r="Y32" s="189" t="s">
        <v>125</v>
      </c>
      <c r="Z32" s="188">
        <v>24859</v>
      </c>
      <c r="AA32" s="188">
        <v>24859</v>
      </c>
      <c r="AB32" s="188">
        <v>0</v>
      </c>
      <c r="AC32" s="188">
        <v>7178401</v>
      </c>
      <c r="AD32" s="188">
        <v>11918</v>
      </c>
      <c r="AE32" s="190">
        <v>7190319</v>
      </c>
      <c r="AY32" s="192"/>
      <c r="AZ32" s="192"/>
    </row>
    <row r="33" spans="1:52" s="191" customFormat="1" ht="15" customHeight="1">
      <c r="A33" s="187" t="s">
        <v>149</v>
      </c>
      <c r="B33" s="188">
        <v>81</v>
      </c>
      <c r="C33" s="188">
        <v>1</v>
      </c>
      <c r="D33" s="188">
        <v>0</v>
      </c>
      <c r="E33" s="188">
        <v>467</v>
      </c>
      <c r="F33" s="188">
        <v>0</v>
      </c>
      <c r="G33" s="188">
        <v>1</v>
      </c>
      <c r="H33" s="188">
        <v>548</v>
      </c>
      <c r="I33" s="188">
        <v>1</v>
      </c>
      <c r="J33" s="188">
        <v>1</v>
      </c>
      <c r="K33" s="188">
        <v>216</v>
      </c>
      <c r="L33" s="188">
        <v>960</v>
      </c>
      <c r="M33" s="188">
        <v>1176</v>
      </c>
      <c r="N33" s="188">
        <v>1</v>
      </c>
      <c r="O33" s="188">
        <v>1</v>
      </c>
      <c r="P33" s="188">
        <v>0</v>
      </c>
      <c r="Q33" s="188">
        <v>0</v>
      </c>
      <c r="R33" s="188">
        <v>1</v>
      </c>
      <c r="S33" s="188">
        <v>1</v>
      </c>
      <c r="T33" s="188">
        <v>0</v>
      </c>
      <c r="U33" s="188">
        <v>2</v>
      </c>
      <c r="V33" s="188">
        <v>2</v>
      </c>
      <c r="W33" s="189" t="s">
        <v>125</v>
      </c>
      <c r="X33" s="189" t="s">
        <v>125</v>
      </c>
      <c r="Y33" s="189" t="s">
        <v>125</v>
      </c>
      <c r="Z33" s="188">
        <v>588</v>
      </c>
      <c r="AA33" s="188">
        <v>588</v>
      </c>
      <c r="AB33" s="188">
        <v>0</v>
      </c>
      <c r="AC33" s="188">
        <v>156077</v>
      </c>
      <c r="AD33" s="188">
        <v>493</v>
      </c>
      <c r="AE33" s="190">
        <v>156570</v>
      </c>
      <c r="AY33" s="192"/>
      <c r="AZ33" s="192"/>
    </row>
    <row r="34" spans="1:52" s="191" customFormat="1" ht="15" customHeight="1">
      <c r="A34" s="187" t="s">
        <v>150</v>
      </c>
      <c r="B34" s="188">
        <v>8</v>
      </c>
      <c r="C34" s="188">
        <v>0</v>
      </c>
      <c r="D34" s="188">
        <v>0</v>
      </c>
      <c r="E34" s="188">
        <v>395</v>
      </c>
      <c r="F34" s="188">
        <v>3</v>
      </c>
      <c r="G34" s="188">
        <v>0</v>
      </c>
      <c r="H34" s="188">
        <v>403</v>
      </c>
      <c r="I34" s="188">
        <v>3</v>
      </c>
      <c r="J34" s="188">
        <v>0</v>
      </c>
      <c r="K34" s="188">
        <v>20</v>
      </c>
      <c r="L34" s="188">
        <v>636</v>
      </c>
      <c r="M34" s="188">
        <v>656</v>
      </c>
      <c r="N34" s="188">
        <v>0</v>
      </c>
      <c r="O34" s="188">
        <v>0</v>
      </c>
      <c r="P34" s="188">
        <v>9</v>
      </c>
      <c r="Q34" s="188">
        <v>3</v>
      </c>
      <c r="R34" s="188">
        <v>9</v>
      </c>
      <c r="S34" s="188">
        <v>3</v>
      </c>
      <c r="T34" s="188">
        <v>0</v>
      </c>
      <c r="U34" s="188">
        <v>0</v>
      </c>
      <c r="V34" s="188">
        <v>0</v>
      </c>
      <c r="W34" s="189" t="s">
        <v>125</v>
      </c>
      <c r="X34" s="189" t="s">
        <v>125</v>
      </c>
      <c r="Y34" s="189" t="s">
        <v>125</v>
      </c>
      <c r="Z34" s="188">
        <v>419</v>
      </c>
      <c r="AA34" s="188">
        <v>419</v>
      </c>
      <c r="AB34" s="188">
        <v>0</v>
      </c>
      <c r="AC34" s="188">
        <v>92555</v>
      </c>
      <c r="AD34" s="188">
        <v>308</v>
      </c>
      <c r="AE34" s="190">
        <v>92863</v>
      </c>
      <c r="AY34" s="192"/>
      <c r="AZ34" s="192"/>
    </row>
    <row r="35" spans="1:52" s="191" customFormat="1" ht="15" customHeight="1">
      <c r="A35" s="187" t="s">
        <v>151</v>
      </c>
      <c r="B35" s="188">
        <v>3239</v>
      </c>
      <c r="C35" s="188">
        <v>21</v>
      </c>
      <c r="D35" s="188">
        <v>0</v>
      </c>
      <c r="E35" s="188">
        <v>19425</v>
      </c>
      <c r="F35" s="188">
        <v>240</v>
      </c>
      <c r="G35" s="188">
        <v>34</v>
      </c>
      <c r="H35" s="188">
        <v>22664</v>
      </c>
      <c r="I35" s="188">
        <v>261</v>
      </c>
      <c r="J35" s="188">
        <v>34</v>
      </c>
      <c r="K35" s="188">
        <v>8302</v>
      </c>
      <c r="L35" s="188">
        <v>42012</v>
      </c>
      <c r="M35" s="188">
        <v>50314</v>
      </c>
      <c r="N35" s="188">
        <v>56</v>
      </c>
      <c r="O35" s="188">
        <v>22</v>
      </c>
      <c r="P35" s="188">
        <v>657</v>
      </c>
      <c r="Q35" s="188">
        <v>269</v>
      </c>
      <c r="R35" s="188">
        <v>713</v>
      </c>
      <c r="S35" s="188">
        <v>291</v>
      </c>
      <c r="T35" s="188">
        <v>0</v>
      </c>
      <c r="U35" s="188">
        <v>46</v>
      </c>
      <c r="V35" s="188">
        <v>46</v>
      </c>
      <c r="W35" s="189" t="s">
        <v>125</v>
      </c>
      <c r="X35" s="189" t="s">
        <v>125</v>
      </c>
      <c r="Y35" s="189" t="s">
        <v>125</v>
      </c>
      <c r="Z35" s="188">
        <v>24226</v>
      </c>
      <c r="AA35" s="188">
        <v>24226</v>
      </c>
      <c r="AB35" s="188">
        <v>0</v>
      </c>
      <c r="AC35" s="188">
        <v>6892841</v>
      </c>
      <c r="AD35" s="188">
        <v>31738</v>
      </c>
      <c r="AE35" s="190">
        <v>6924579</v>
      </c>
      <c r="AY35" s="192"/>
      <c r="AZ35" s="192"/>
    </row>
    <row r="36" spans="1:52" s="191" customFormat="1" ht="15" customHeight="1">
      <c r="A36" s="187" t="s">
        <v>152</v>
      </c>
      <c r="B36" s="188">
        <v>285</v>
      </c>
      <c r="C36" s="188">
        <v>7</v>
      </c>
      <c r="D36" s="188">
        <v>0</v>
      </c>
      <c r="E36" s="188">
        <v>2954</v>
      </c>
      <c r="F36" s="188">
        <v>51</v>
      </c>
      <c r="G36" s="188">
        <v>6</v>
      </c>
      <c r="H36" s="188">
        <v>3239</v>
      </c>
      <c r="I36" s="188">
        <v>58</v>
      </c>
      <c r="J36" s="188">
        <v>6</v>
      </c>
      <c r="K36" s="188">
        <v>700</v>
      </c>
      <c r="L36" s="188">
        <v>5727</v>
      </c>
      <c r="M36" s="188">
        <v>6427</v>
      </c>
      <c r="N36" s="188">
        <v>20</v>
      </c>
      <c r="O36" s="188">
        <v>8</v>
      </c>
      <c r="P36" s="188">
        <v>132</v>
      </c>
      <c r="Q36" s="188">
        <v>54</v>
      </c>
      <c r="R36" s="188">
        <v>152</v>
      </c>
      <c r="S36" s="188">
        <v>62</v>
      </c>
      <c r="T36" s="188">
        <v>0</v>
      </c>
      <c r="U36" s="188">
        <v>7</v>
      </c>
      <c r="V36" s="188">
        <v>7</v>
      </c>
      <c r="W36" s="189" t="s">
        <v>125</v>
      </c>
      <c r="X36" s="189" t="s">
        <v>125</v>
      </c>
      <c r="Y36" s="189" t="s">
        <v>125</v>
      </c>
      <c r="Z36" s="188">
        <v>3460</v>
      </c>
      <c r="AA36" s="188">
        <v>3460</v>
      </c>
      <c r="AB36" s="188">
        <v>0</v>
      </c>
      <c r="AC36" s="188">
        <v>813235</v>
      </c>
      <c r="AD36" s="188">
        <v>4009</v>
      </c>
      <c r="AE36" s="190">
        <v>817244</v>
      </c>
      <c r="AY36" s="192"/>
      <c r="AZ36" s="192"/>
    </row>
    <row r="37" spans="1:52" s="191" customFormat="1" ht="15" customHeight="1">
      <c r="A37" s="187" t="s">
        <v>153</v>
      </c>
      <c r="B37" s="188">
        <v>257</v>
      </c>
      <c r="C37" s="188">
        <v>1</v>
      </c>
      <c r="D37" s="188">
        <v>0</v>
      </c>
      <c r="E37" s="188">
        <v>3859</v>
      </c>
      <c r="F37" s="188">
        <v>11</v>
      </c>
      <c r="G37" s="188">
        <v>1</v>
      </c>
      <c r="H37" s="188">
        <v>4116</v>
      </c>
      <c r="I37" s="188">
        <v>12</v>
      </c>
      <c r="J37" s="188">
        <v>1</v>
      </c>
      <c r="K37" s="188">
        <v>656</v>
      </c>
      <c r="L37" s="188">
        <v>6506</v>
      </c>
      <c r="M37" s="188">
        <v>7162</v>
      </c>
      <c r="N37" s="188">
        <v>4</v>
      </c>
      <c r="O37" s="188">
        <v>2</v>
      </c>
      <c r="P37" s="188">
        <v>24</v>
      </c>
      <c r="Q37" s="188">
        <v>11</v>
      </c>
      <c r="R37" s="188">
        <v>28</v>
      </c>
      <c r="S37" s="188">
        <v>13</v>
      </c>
      <c r="T37" s="188">
        <v>0</v>
      </c>
      <c r="U37" s="188">
        <v>1</v>
      </c>
      <c r="V37" s="188">
        <v>1</v>
      </c>
      <c r="W37" s="189" t="s">
        <v>125</v>
      </c>
      <c r="X37" s="189" t="s">
        <v>125</v>
      </c>
      <c r="Y37" s="189" t="s">
        <v>125</v>
      </c>
      <c r="Z37" s="188">
        <v>4388</v>
      </c>
      <c r="AA37" s="188">
        <v>4388</v>
      </c>
      <c r="AB37" s="188">
        <v>0</v>
      </c>
      <c r="AC37" s="188">
        <v>990869</v>
      </c>
      <c r="AD37" s="188">
        <v>1004</v>
      </c>
      <c r="AE37" s="190">
        <v>991873</v>
      </c>
      <c r="AY37" s="192"/>
      <c r="AZ37" s="192"/>
    </row>
    <row r="38" spans="1:52" s="191" customFormat="1" ht="15" customHeight="1">
      <c r="A38" s="187" t="s">
        <v>154</v>
      </c>
      <c r="B38" s="188">
        <v>9651</v>
      </c>
      <c r="C38" s="188">
        <v>202</v>
      </c>
      <c r="D38" s="188">
        <v>4</v>
      </c>
      <c r="E38" s="188">
        <v>103232</v>
      </c>
      <c r="F38" s="188">
        <v>2028</v>
      </c>
      <c r="G38" s="188">
        <v>1085</v>
      </c>
      <c r="H38" s="188">
        <v>112883</v>
      </c>
      <c r="I38" s="188">
        <v>2230</v>
      </c>
      <c r="J38" s="188">
        <v>1089</v>
      </c>
      <c r="K38" s="188">
        <v>24920</v>
      </c>
      <c r="L38" s="188">
        <v>202964</v>
      </c>
      <c r="M38" s="188">
        <v>227884</v>
      </c>
      <c r="N38" s="188">
        <v>448</v>
      </c>
      <c r="O38" s="188">
        <v>290</v>
      </c>
      <c r="P38" s="188">
        <v>4345</v>
      </c>
      <c r="Q38" s="188">
        <v>2585</v>
      </c>
      <c r="R38" s="188">
        <v>4793</v>
      </c>
      <c r="S38" s="188">
        <v>2875</v>
      </c>
      <c r="T38" s="188">
        <v>8</v>
      </c>
      <c r="U38" s="188">
        <v>1457</v>
      </c>
      <c r="V38" s="188">
        <v>1465</v>
      </c>
      <c r="W38" s="189" t="s">
        <v>125</v>
      </c>
      <c r="X38" s="189" t="s">
        <v>125</v>
      </c>
      <c r="Y38" s="189" t="s">
        <v>125</v>
      </c>
      <c r="Z38" s="188">
        <v>121540</v>
      </c>
      <c r="AA38" s="188">
        <v>121540</v>
      </c>
      <c r="AB38" s="188">
        <v>0</v>
      </c>
      <c r="AC38" s="188">
        <v>31233396</v>
      </c>
      <c r="AD38" s="188">
        <v>491740</v>
      </c>
      <c r="AE38" s="190">
        <v>31725136</v>
      </c>
      <c r="AY38" s="192"/>
      <c r="AZ38" s="192"/>
    </row>
    <row r="39" spans="1:52" s="191" customFormat="1" ht="15" customHeight="1">
      <c r="A39" s="187" t="s">
        <v>155</v>
      </c>
      <c r="B39" s="188">
        <v>711</v>
      </c>
      <c r="C39" s="188">
        <v>8</v>
      </c>
      <c r="D39" s="188">
        <v>2</v>
      </c>
      <c r="E39" s="188">
        <v>8331</v>
      </c>
      <c r="F39" s="188">
        <v>39</v>
      </c>
      <c r="G39" s="188">
        <v>36</v>
      </c>
      <c r="H39" s="188">
        <v>9042</v>
      </c>
      <c r="I39" s="188">
        <v>47</v>
      </c>
      <c r="J39" s="188">
        <v>38</v>
      </c>
      <c r="K39" s="188">
        <v>1723</v>
      </c>
      <c r="L39" s="188">
        <v>14314</v>
      </c>
      <c r="M39" s="188">
        <v>16037</v>
      </c>
      <c r="N39" s="188">
        <v>16</v>
      </c>
      <c r="O39" s="188">
        <v>13</v>
      </c>
      <c r="P39" s="188">
        <v>90</v>
      </c>
      <c r="Q39" s="188">
        <v>49</v>
      </c>
      <c r="R39" s="188">
        <v>106</v>
      </c>
      <c r="S39" s="188">
        <v>62</v>
      </c>
      <c r="T39" s="188">
        <v>7</v>
      </c>
      <c r="U39" s="188">
        <v>50</v>
      </c>
      <c r="V39" s="188">
        <v>57</v>
      </c>
      <c r="W39" s="189" t="s">
        <v>125</v>
      </c>
      <c r="X39" s="189" t="s">
        <v>125</v>
      </c>
      <c r="Y39" s="189" t="s">
        <v>125</v>
      </c>
      <c r="Z39" s="188">
        <v>9155</v>
      </c>
      <c r="AA39" s="188">
        <v>9155</v>
      </c>
      <c r="AB39" s="188">
        <v>0</v>
      </c>
      <c r="AC39" s="188">
        <v>2077791</v>
      </c>
      <c r="AD39" s="188">
        <v>15330</v>
      </c>
      <c r="AE39" s="190">
        <v>2093121</v>
      </c>
      <c r="AY39" s="192"/>
      <c r="AZ39" s="192"/>
    </row>
    <row r="40" spans="1:52" s="191" customFormat="1" ht="15" customHeight="1">
      <c r="A40" s="187" t="s">
        <v>156</v>
      </c>
      <c r="B40" s="188">
        <v>84</v>
      </c>
      <c r="C40" s="188">
        <v>0</v>
      </c>
      <c r="D40" s="188">
        <v>0</v>
      </c>
      <c r="E40" s="188">
        <v>1076</v>
      </c>
      <c r="F40" s="188">
        <v>1</v>
      </c>
      <c r="G40" s="188">
        <v>0</v>
      </c>
      <c r="H40" s="188">
        <v>1160</v>
      </c>
      <c r="I40" s="188">
        <v>1</v>
      </c>
      <c r="J40" s="188">
        <v>0</v>
      </c>
      <c r="K40" s="188">
        <v>215</v>
      </c>
      <c r="L40" s="188">
        <v>1895</v>
      </c>
      <c r="M40" s="188">
        <v>2110</v>
      </c>
      <c r="N40" s="188">
        <v>0</v>
      </c>
      <c r="O40" s="188">
        <v>0</v>
      </c>
      <c r="P40" s="188">
        <v>0</v>
      </c>
      <c r="Q40" s="188">
        <v>1</v>
      </c>
      <c r="R40" s="188">
        <v>0</v>
      </c>
      <c r="S40" s="188">
        <v>1</v>
      </c>
      <c r="T40" s="188">
        <v>0</v>
      </c>
      <c r="U40" s="188">
        <v>0</v>
      </c>
      <c r="V40" s="188">
        <v>0</v>
      </c>
      <c r="W40" s="189" t="s">
        <v>125</v>
      </c>
      <c r="X40" s="189" t="s">
        <v>125</v>
      </c>
      <c r="Y40" s="189" t="s">
        <v>125</v>
      </c>
      <c r="Z40" s="188">
        <v>1200</v>
      </c>
      <c r="AA40" s="188">
        <v>1200</v>
      </c>
      <c r="AB40" s="188">
        <v>0</v>
      </c>
      <c r="AC40" s="188">
        <v>289590</v>
      </c>
      <c r="AD40" s="188">
        <v>138</v>
      </c>
      <c r="AE40" s="190">
        <v>289728</v>
      </c>
      <c r="AY40" s="192"/>
      <c r="AZ40" s="192"/>
    </row>
    <row r="41" spans="1:52" s="191" customFormat="1" ht="15" customHeight="1">
      <c r="A41" s="187" t="s">
        <v>157</v>
      </c>
      <c r="B41" s="188">
        <v>14350</v>
      </c>
      <c r="C41" s="188">
        <v>95</v>
      </c>
      <c r="D41" s="188">
        <v>8</v>
      </c>
      <c r="E41" s="188">
        <v>106523</v>
      </c>
      <c r="F41" s="188">
        <v>761</v>
      </c>
      <c r="G41" s="188">
        <v>169</v>
      </c>
      <c r="H41" s="188">
        <v>120873</v>
      </c>
      <c r="I41" s="188">
        <v>856</v>
      </c>
      <c r="J41" s="188">
        <v>177</v>
      </c>
      <c r="K41" s="188">
        <v>38864</v>
      </c>
      <c r="L41" s="188">
        <v>227395</v>
      </c>
      <c r="M41" s="188">
        <v>266259</v>
      </c>
      <c r="N41" s="188">
        <v>249</v>
      </c>
      <c r="O41" s="188">
        <v>118</v>
      </c>
      <c r="P41" s="188">
        <v>2105</v>
      </c>
      <c r="Q41" s="188">
        <v>864</v>
      </c>
      <c r="R41" s="188">
        <v>2354</v>
      </c>
      <c r="S41" s="188">
        <v>982</v>
      </c>
      <c r="T41" s="188">
        <v>11</v>
      </c>
      <c r="U41" s="188">
        <v>222</v>
      </c>
      <c r="V41" s="188">
        <v>233</v>
      </c>
      <c r="W41" s="189" t="s">
        <v>125</v>
      </c>
      <c r="X41" s="189" t="s">
        <v>125</v>
      </c>
      <c r="Y41" s="189" t="s">
        <v>125</v>
      </c>
      <c r="Z41" s="188">
        <v>126971</v>
      </c>
      <c r="AA41" s="188">
        <v>126971</v>
      </c>
      <c r="AB41" s="188">
        <v>0</v>
      </c>
      <c r="AC41" s="188">
        <v>35454026</v>
      </c>
      <c r="AD41" s="188">
        <v>117954</v>
      </c>
      <c r="AE41" s="190">
        <v>35571980</v>
      </c>
      <c r="AY41" s="192"/>
      <c r="AZ41" s="192"/>
    </row>
    <row r="42" spans="1:52" s="191" customFormat="1" ht="15" customHeight="1">
      <c r="A42" s="187" t="s">
        <v>158</v>
      </c>
      <c r="B42" s="188">
        <v>13809</v>
      </c>
      <c r="C42" s="188">
        <v>599</v>
      </c>
      <c r="D42" s="188">
        <v>4</v>
      </c>
      <c r="E42" s="188">
        <v>82601</v>
      </c>
      <c r="F42" s="188">
        <v>1136</v>
      </c>
      <c r="G42" s="188">
        <v>567</v>
      </c>
      <c r="H42" s="188">
        <v>96410</v>
      </c>
      <c r="I42" s="188">
        <v>1735</v>
      </c>
      <c r="J42" s="188">
        <v>571</v>
      </c>
      <c r="K42" s="188">
        <v>36155</v>
      </c>
      <c r="L42" s="188">
        <v>163500</v>
      </c>
      <c r="M42" s="188">
        <v>199655</v>
      </c>
      <c r="N42" s="188">
        <v>1448</v>
      </c>
      <c r="O42" s="188">
        <v>1010</v>
      </c>
      <c r="P42" s="188">
        <v>2646</v>
      </c>
      <c r="Q42" s="188">
        <v>1661</v>
      </c>
      <c r="R42" s="188">
        <v>4094</v>
      </c>
      <c r="S42" s="188">
        <v>2671</v>
      </c>
      <c r="T42" s="188">
        <v>9</v>
      </c>
      <c r="U42" s="188">
        <v>758</v>
      </c>
      <c r="V42" s="188">
        <v>767</v>
      </c>
      <c r="W42" s="189" t="s">
        <v>125</v>
      </c>
      <c r="X42" s="189" t="s">
        <v>125</v>
      </c>
      <c r="Y42" s="189" t="s">
        <v>125</v>
      </c>
      <c r="Z42" s="188">
        <v>112693</v>
      </c>
      <c r="AA42" s="188">
        <v>112693</v>
      </c>
      <c r="AB42" s="188">
        <v>0</v>
      </c>
      <c r="AC42" s="188">
        <v>28695840</v>
      </c>
      <c r="AD42" s="188">
        <v>393111</v>
      </c>
      <c r="AE42" s="190">
        <v>29088951</v>
      </c>
      <c r="AY42" s="192"/>
      <c r="AZ42" s="192"/>
    </row>
    <row r="43" spans="1:52" s="191" customFormat="1" ht="15" customHeight="1">
      <c r="A43" s="187" t="s">
        <v>159</v>
      </c>
      <c r="B43" s="188">
        <v>261</v>
      </c>
      <c r="C43" s="188">
        <v>1</v>
      </c>
      <c r="D43" s="188">
        <v>0</v>
      </c>
      <c r="E43" s="188">
        <v>2046</v>
      </c>
      <c r="F43" s="188">
        <v>18</v>
      </c>
      <c r="G43" s="188">
        <v>2</v>
      </c>
      <c r="H43" s="188">
        <v>2307</v>
      </c>
      <c r="I43" s="188">
        <v>19</v>
      </c>
      <c r="J43" s="188">
        <v>2</v>
      </c>
      <c r="K43" s="188">
        <v>717</v>
      </c>
      <c r="L43" s="188">
        <v>4387</v>
      </c>
      <c r="M43" s="188">
        <v>5104</v>
      </c>
      <c r="N43" s="188">
        <v>5</v>
      </c>
      <c r="O43" s="188">
        <v>1</v>
      </c>
      <c r="P43" s="188">
        <v>54</v>
      </c>
      <c r="Q43" s="188">
        <v>20</v>
      </c>
      <c r="R43" s="188">
        <v>59</v>
      </c>
      <c r="S43" s="188">
        <v>21</v>
      </c>
      <c r="T43" s="188">
        <v>0</v>
      </c>
      <c r="U43" s="188">
        <v>2</v>
      </c>
      <c r="V43" s="188">
        <v>2</v>
      </c>
      <c r="W43" s="189" t="s">
        <v>125</v>
      </c>
      <c r="X43" s="189" t="s">
        <v>125</v>
      </c>
      <c r="Y43" s="189" t="s">
        <v>125</v>
      </c>
      <c r="Z43" s="188">
        <v>2446</v>
      </c>
      <c r="AA43" s="188">
        <v>2446</v>
      </c>
      <c r="AB43" s="188">
        <v>0</v>
      </c>
      <c r="AC43" s="188">
        <v>671135</v>
      </c>
      <c r="AD43" s="188">
        <v>2006</v>
      </c>
      <c r="AE43" s="190">
        <v>673141</v>
      </c>
      <c r="AY43" s="192"/>
      <c r="AZ43" s="192"/>
    </row>
    <row r="44" spans="1:52" s="191" customFormat="1" ht="15" customHeight="1">
      <c r="A44" s="187" t="s">
        <v>160</v>
      </c>
      <c r="B44" s="188">
        <v>23171</v>
      </c>
      <c r="C44" s="188">
        <v>144</v>
      </c>
      <c r="D44" s="188">
        <v>9</v>
      </c>
      <c r="E44" s="188">
        <v>142151</v>
      </c>
      <c r="F44" s="188">
        <v>893</v>
      </c>
      <c r="G44" s="188">
        <v>321</v>
      </c>
      <c r="H44" s="188">
        <v>165322</v>
      </c>
      <c r="I44" s="188">
        <v>1037</v>
      </c>
      <c r="J44" s="188">
        <v>330</v>
      </c>
      <c r="K44" s="188">
        <v>61070</v>
      </c>
      <c r="L44" s="188">
        <v>298567</v>
      </c>
      <c r="M44" s="188">
        <v>359637</v>
      </c>
      <c r="N44" s="188">
        <v>353</v>
      </c>
      <c r="O44" s="188">
        <v>167</v>
      </c>
      <c r="P44" s="188">
        <v>2332</v>
      </c>
      <c r="Q44" s="188">
        <v>1055</v>
      </c>
      <c r="R44" s="188">
        <v>2685</v>
      </c>
      <c r="S44" s="188">
        <v>1222</v>
      </c>
      <c r="T44" s="188">
        <v>13</v>
      </c>
      <c r="U44" s="188">
        <v>438</v>
      </c>
      <c r="V44" s="188">
        <v>451</v>
      </c>
      <c r="W44" s="189" t="s">
        <v>125</v>
      </c>
      <c r="X44" s="189" t="s">
        <v>125</v>
      </c>
      <c r="Y44" s="189" t="s">
        <v>125</v>
      </c>
      <c r="Z44" s="188">
        <v>174008</v>
      </c>
      <c r="AA44" s="188">
        <v>174008</v>
      </c>
      <c r="AB44" s="188">
        <v>0</v>
      </c>
      <c r="AC44" s="188">
        <v>48882890</v>
      </c>
      <c r="AD44" s="188">
        <v>182182</v>
      </c>
      <c r="AE44" s="190">
        <v>49065072</v>
      </c>
      <c r="AY44" s="192"/>
      <c r="AZ44" s="192"/>
    </row>
    <row r="45" spans="1:52" s="191" customFormat="1" ht="15" customHeight="1">
      <c r="A45" s="187" t="s">
        <v>161</v>
      </c>
      <c r="B45" s="188">
        <v>12099</v>
      </c>
      <c r="C45" s="188">
        <v>305</v>
      </c>
      <c r="D45" s="188">
        <v>9</v>
      </c>
      <c r="E45" s="188">
        <v>118564</v>
      </c>
      <c r="F45" s="188">
        <v>1700</v>
      </c>
      <c r="G45" s="188">
        <v>745</v>
      </c>
      <c r="H45" s="188">
        <v>130663</v>
      </c>
      <c r="I45" s="188">
        <v>2005</v>
      </c>
      <c r="J45" s="188">
        <v>754</v>
      </c>
      <c r="K45" s="188">
        <v>33404</v>
      </c>
      <c r="L45" s="188">
        <v>227862</v>
      </c>
      <c r="M45" s="188">
        <v>261266</v>
      </c>
      <c r="N45" s="188">
        <v>670</v>
      </c>
      <c r="O45" s="188">
        <v>404</v>
      </c>
      <c r="P45" s="188">
        <v>4060</v>
      </c>
      <c r="Q45" s="188">
        <v>2017</v>
      </c>
      <c r="R45" s="188">
        <v>4730</v>
      </c>
      <c r="S45" s="188">
        <v>2421</v>
      </c>
      <c r="T45" s="188">
        <v>16</v>
      </c>
      <c r="U45" s="188">
        <v>937</v>
      </c>
      <c r="V45" s="188">
        <v>953</v>
      </c>
      <c r="W45" s="189" t="s">
        <v>125</v>
      </c>
      <c r="X45" s="189" t="s">
        <v>125</v>
      </c>
      <c r="Y45" s="189" t="s">
        <v>125</v>
      </c>
      <c r="Z45" s="188">
        <v>155720</v>
      </c>
      <c r="AA45" s="188">
        <v>155720</v>
      </c>
      <c r="AB45" s="188">
        <v>0</v>
      </c>
      <c r="AC45" s="188">
        <v>35226721</v>
      </c>
      <c r="AD45" s="188">
        <v>361587</v>
      </c>
      <c r="AE45" s="190">
        <v>35588308</v>
      </c>
      <c r="AY45" s="192"/>
      <c r="AZ45" s="192"/>
    </row>
    <row r="46" spans="1:52" s="191" customFormat="1" ht="15" customHeight="1">
      <c r="A46" s="187" t="s">
        <v>162</v>
      </c>
      <c r="B46" s="188">
        <v>1940</v>
      </c>
      <c r="C46" s="188">
        <v>104</v>
      </c>
      <c r="D46" s="188">
        <v>6</v>
      </c>
      <c r="E46" s="188">
        <v>29818</v>
      </c>
      <c r="F46" s="188">
        <v>759</v>
      </c>
      <c r="G46" s="188">
        <v>1115</v>
      </c>
      <c r="H46" s="188">
        <v>31758</v>
      </c>
      <c r="I46" s="188">
        <v>863</v>
      </c>
      <c r="J46" s="188">
        <v>1121</v>
      </c>
      <c r="K46" s="188">
        <v>4130</v>
      </c>
      <c r="L46" s="188">
        <v>42764</v>
      </c>
      <c r="M46" s="188">
        <v>46894</v>
      </c>
      <c r="N46" s="188">
        <v>191</v>
      </c>
      <c r="O46" s="188">
        <v>123</v>
      </c>
      <c r="P46" s="188">
        <v>1396</v>
      </c>
      <c r="Q46" s="188">
        <v>957</v>
      </c>
      <c r="R46" s="188">
        <v>1587</v>
      </c>
      <c r="S46" s="188">
        <v>1080</v>
      </c>
      <c r="T46" s="188">
        <v>11</v>
      </c>
      <c r="U46" s="188">
        <v>1149</v>
      </c>
      <c r="V46" s="188">
        <v>1160</v>
      </c>
      <c r="W46" s="189" t="s">
        <v>125</v>
      </c>
      <c r="X46" s="189" t="s">
        <v>125</v>
      </c>
      <c r="Y46" s="189" t="s">
        <v>125</v>
      </c>
      <c r="Z46" s="188">
        <v>36657</v>
      </c>
      <c r="AA46" s="188">
        <v>36657</v>
      </c>
      <c r="AB46" s="188">
        <v>0</v>
      </c>
      <c r="AC46" s="188">
        <v>6943761</v>
      </c>
      <c r="AD46" s="188">
        <v>286152</v>
      </c>
      <c r="AE46" s="190">
        <v>7229913</v>
      </c>
      <c r="AY46" s="192"/>
      <c r="AZ46" s="192"/>
    </row>
    <row r="47" spans="1:52" s="191" customFormat="1" ht="15" customHeight="1">
      <c r="A47" s="187" t="s">
        <v>163</v>
      </c>
      <c r="B47" s="188">
        <v>6664</v>
      </c>
      <c r="C47" s="188">
        <v>55</v>
      </c>
      <c r="D47" s="188">
        <v>0</v>
      </c>
      <c r="E47" s="188">
        <v>41560</v>
      </c>
      <c r="F47" s="188">
        <v>426</v>
      </c>
      <c r="G47" s="188">
        <v>149</v>
      </c>
      <c r="H47" s="188">
        <v>48224</v>
      </c>
      <c r="I47" s="188">
        <v>481</v>
      </c>
      <c r="J47" s="188">
        <v>149</v>
      </c>
      <c r="K47" s="188">
        <v>16391</v>
      </c>
      <c r="L47" s="188">
        <v>90263</v>
      </c>
      <c r="M47" s="188">
        <v>106654</v>
      </c>
      <c r="N47" s="188">
        <v>130</v>
      </c>
      <c r="O47" s="188">
        <v>64</v>
      </c>
      <c r="P47" s="188">
        <v>1209</v>
      </c>
      <c r="Q47" s="188">
        <v>524</v>
      </c>
      <c r="R47" s="188">
        <v>1339</v>
      </c>
      <c r="S47" s="188">
        <v>588</v>
      </c>
      <c r="T47" s="188">
        <v>0</v>
      </c>
      <c r="U47" s="188">
        <v>212</v>
      </c>
      <c r="V47" s="188">
        <v>212</v>
      </c>
      <c r="W47" s="189" t="s">
        <v>125</v>
      </c>
      <c r="X47" s="189" t="s">
        <v>125</v>
      </c>
      <c r="Y47" s="189" t="s">
        <v>125</v>
      </c>
      <c r="Z47" s="188">
        <v>51181</v>
      </c>
      <c r="AA47" s="188">
        <v>51181</v>
      </c>
      <c r="AB47" s="188">
        <v>0</v>
      </c>
      <c r="AC47" s="188">
        <v>14276916</v>
      </c>
      <c r="AD47" s="188">
        <v>86496</v>
      </c>
      <c r="AE47" s="190">
        <v>14363412</v>
      </c>
      <c r="AY47" s="192"/>
      <c r="AZ47" s="192"/>
    </row>
    <row r="48" spans="1:52" s="191" customFormat="1" ht="15" customHeight="1">
      <c r="A48" s="187" t="s">
        <v>164</v>
      </c>
      <c r="B48" s="188">
        <v>875</v>
      </c>
      <c r="C48" s="188">
        <v>5</v>
      </c>
      <c r="D48" s="188">
        <v>0</v>
      </c>
      <c r="E48" s="188">
        <v>8720</v>
      </c>
      <c r="F48" s="188">
        <v>31</v>
      </c>
      <c r="G48" s="188">
        <v>9</v>
      </c>
      <c r="H48" s="188">
        <v>9595</v>
      </c>
      <c r="I48" s="188">
        <v>36</v>
      </c>
      <c r="J48" s="188">
        <v>9</v>
      </c>
      <c r="K48" s="188">
        <v>2147</v>
      </c>
      <c r="L48" s="188">
        <v>15004</v>
      </c>
      <c r="M48" s="188">
        <v>17151</v>
      </c>
      <c r="N48" s="188">
        <v>16</v>
      </c>
      <c r="O48" s="188">
        <v>6</v>
      </c>
      <c r="P48" s="188">
        <v>81</v>
      </c>
      <c r="Q48" s="188">
        <v>36</v>
      </c>
      <c r="R48" s="188">
        <v>97</v>
      </c>
      <c r="S48" s="188">
        <v>42</v>
      </c>
      <c r="T48" s="188">
        <v>0</v>
      </c>
      <c r="U48" s="188">
        <v>11</v>
      </c>
      <c r="V48" s="188">
        <v>11</v>
      </c>
      <c r="W48" s="189" t="s">
        <v>125</v>
      </c>
      <c r="X48" s="189" t="s">
        <v>125</v>
      </c>
      <c r="Y48" s="189" t="s">
        <v>125</v>
      </c>
      <c r="Z48" s="188">
        <v>10052</v>
      </c>
      <c r="AA48" s="188">
        <v>10052</v>
      </c>
      <c r="AB48" s="188">
        <v>0</v>
      </c>
      <c r="AC48" s="188">
        <v>2310725</v>
      </c>
      <c r="AD48" s="188">
        <v>4817</v>
      </c>
      <c r="AE48" s="190">
        <v>2315542</v>
      </c>
      <c r="AY48" s="192"/>
      <c r="AZ48" s="192"/>
    </row>
    <row r="49" spans="1:52" s="191" customFormat="1" ht="15" customHeight="1">
      <c r="A49" s="187" t="s">
        <v>165</v>
      </c>
      <c r="B49" s="188">
        <v>697</v>
      </c>
      <c r="C49" s="188">
        <v>18</v>
      </c>
      <c r="D49" s="188">
        <v>0</v>
      </c>
      <c r="E49" s="188">
        <v>12473</v>
      </c>
      <c r="F49" s="188">
        <v>398</v>
      </c>
      <c r="G49" s="188">
        <v>144</v>
      </c>
      <c r="H49" s="188">
        <v>13170</v>
      </c>
      <c r="I49" s="188">
        <v>416</v>
      </c>
      <c r="J49" s="188">
        <v>144</v>
      </c>
      <c r="K49" s="188">
        <v>1628</v>
      </c>
      <c r="L49" s="188">
        <v>23203</v>
      </c>
      <c r="M49" s="188">
        <v>24831</v>
      </c>
      <c r="N49" s="188">
        <v>40</v>
      </c>
      <c r="O49" s="188">
        <v>18</v>
      </c>
      <c r="P49" s="188">
        <v>956</v>
      </c>
      <c r="Q49" s="188">
        <v>483</v>
      </c>
      <c r="R49" s="188">
        <v>996</v>
      </c>
      <c r="S49" s="188">
        <v>501</v>
      </c>
      <c r="T49" s="188">
        <v>0</v>
      </c>
      <c r="U49" s="188">
        <v>188</v>
      </c>
      <c r="V49" s="188">
        <v>188</v>
      </c>
      <c r="W49" s="189" t="s">
        <v>125</v>
      </c>
      <c r="X49" s="189" t="s">
        <v>125</v>
      </c>
      <c r="Y49" s="189" t="s">
        <v>125</v>
      </c>
      <c r="Z49" s="188">
        <v>15723</v>
      </c>
      <c r="AA49" s="188">
        <v>15723</v>
      </c>
      <c r="AB49" s="188">
        <v>0</v>
      </c>
      <c r="AC49" s="188">
        <v>3362877</v>
      </c>
      <c r="AD49" s="188">
        <v>61505</v>
      </c>
      <c r="AE49" s="190">
        <v>3424382</v>
      </c>
      <c r="AY49" s="192"/>
      <c r="AZ49" s="192"/>
    </row>
    <row r="50" spans="1:52" s="191" customFormat="1" ht="15" customHeight="1">
      <c r="A50" s="187" t="s">
        <v>166</v>
      </c>
      <c r="B50" s="188">
        <v>2441</v>
      </c>
      <c r="C50" s="188">
        <v>19</v>
      </c>
      <c r="D50" s="188">
        <v>0</v>
      </c>
      <c r="E50" s="188">
        <v>16506</v>
      </c>
      <c r="F50" s="188">
        <v>133</v>
      </c>
      <c r="G50" s="188">
        <v>63</v>
      </c>
      <c r="H50" s="188">
        <v>18947</v>
      </c>
      <c r="I50" s="188">
        <v>152</v>
      </c>
      <c r="J50" s="188">
        <v>63</v>
      </c>
      <c r="K50" s="188">
        <v>6333</v>
      </c>
      <c r="L50" s="188">
        <v>32710</v>
      </c>
      <c r="M50" s="188">
        <v>39043</v>
      </c>
      <c r="N50" s="188">
        <v>49</v>
      </c>
      <c r="O50" s="188">
        <v>21</v>
      </c>
      <c r="P50" s="188">
        <v>361</v>
      </c>
      <c r="Q50" s="188">
        <v>143</v>
      </c>
      <c r="R50" s="188">
        <v>410</v>
      </c>
      <c r="S50" s="188">
        <v>164</v>
      </c>
      <c r="T50" s="188">
        <v>0</v>
      </c>
      <c r="U50" s="188">
        <v>74</v>
      </c>
      <c r="V50" s="188">
        <v>74</v>
      </c>
      <c r="W50" s="189" t="s">
        <v>125</v>
      </c>
      <c r="X50" s="189" t="s">
        <v>125</v>
      </c>
      <c r="Y50" s="189" t="s">
        <v>125</v>
      </c>
      <c r="Z50" s="188">
        <v>22128</v>
      </c>
      <c r="AA50" s="188">
        <v>22128</v>
      </c>
      <c r="AB50" s="188">
        <v>0</v>
      </c>
      <c r="AC50" s="188">
        <v>5385143</v>
      </c>
      <c r="AD50" s="188">
        <v>27196</v>
      </c>
      <c r="AE50" s="190">
        <v>5412339</v>
      </c>
      <c r="AY50" s="192"/>
      <c r="AZ50" s="192"/>
    </row>
    <row r="51" spans="1:52" s="191" customFormat="1" ht="15" customHeight="1">
      <c r="A51" s="187" t="s">
        <v>167</v>
      </c>
      <c r="B51" s="188">
        <v>3917</v>
      </c>
      <c r="C51" s="188">
        <v>94</v>
      </c>
      <c r="D51" s="188">
        <v>2</v>
      </c>
      <c r="E51" s="188">
        <v>42477</v>
      </c>
      <c r="F51" s="188">
        <v>819</v>
      </c>
      <c r="G51" s="188">
        <v>602</v>
      </c>
      <c r="H51" s="188">
        <v>46394</v>
      </c>
      <c r="I51" s="188">
        <v>913</v>
      </c>
      <c r="J51" s="188">
        <v>604</v>
      </c>
      <c r="K51" s="188">
        <v>9510</v>
      </c>
      <c r="L51" s="188">
        <v>80013</v>
      </c>
      <c r="M51" s="188">
        <v>89523</v>
      </c>
      <c r="N51" s="188">
        <v>204</v>
      </c>
      <c r="O51" s="188">
        <v>120</v>
      </c>
      <c r="P51" s="188">
        <v>1776</v>
      </c>
      <c r="Q51" s="188">
        <v>1047</v>
      </c>
      <c r="R51" s="188">
        <v>1980</v>
      </c>
      <c r="S51" s="188">
        <v>1167</v>
      </c>
      <c r="T51" s="188">
        <v>2</v>
      </c>
      <c r="U51" s="188">
        <v>870</v>
      </c>
      <c r="V51" s="188">
        <v>872</v>
      </c>
      <c r="W51" s="189" t="s">
        <v>125</v>
      </c>
      <c r="X51" s="189" t="s">
        <v>125</v>
      </c>
      <c r="Y51" s="189" t="s">
        <v>125</v>
      </c>
      <c r="Z51" s="188">
        <v>49878</v>
      </c>
      <c r="AA51" s="188">
        <v>49878</v>
      </c>
      <c r="AB51" s="188">
        <v>0</v>
      </c>
      <c r="AC51" s="188">
        <v>12310856</v>
      </c>
      <c r="AD51" s="188">
        <v>225510</v>
      </c>
      <c r="AE51" s="190">
        <v>12536366</v>
      </c>
      <c r="AY51" s="192"/>
      <c r="AZ51" s="192"/>
    </row>
    <row r="52" spans="1:52" s="191" customFormat="1" ht="15" customHeight="1">
      <c r="A52" s="187" t="s">
        <v>168</v>
      </c>
      <c r="B52" s="188">
        <v>1100</v>
      </c>
      <c r="C52" s="188">
        <v>4</v>
      </c>
      <c r="D52" s="188">
        <v>0</v>
      </c>
      <c r="E52" s="188">
        <v>13702</v>
      </c>
      <c r="F52" s="188">
        <v>47</v>
      </c>
      <c r="G52" s="188">
        <v>8</v>
      </c>
      <c r="H52" s="188">
        <v>14802</v>
      </c>
      <c r="I52" s="188">
        <v>51</v>
      </c>
      <c r="J52" s="188">
        <v>8</v>
      </c>
      <c r="K52" s="188">
        <v>2732</v>
      </c>
      <c r="L52" s="188">
        <v>23963</v>
      </c>
      <c r="M52" s="188">
        <v>26695</v>
      </c>
      <c r="N52" s="188">
        <v>11</v>
      </c>
      <c r="O52" s="188">
        <v>4</v>
      </c>
      <c r="P52" s="188">
        <v>127</v>
      </c>
      <c r="Q52" s="188">
        <v>57</v>
      </c>
      <c r="R52" s="188">
        <v>138</v>
      </c>
      <c r="S52" s="188">
        <v>61</v>
      </c>
      <c r="T52" s="188">
        <v>0</v>
      </c>
      <c r="U52" s="188">
        <v>11</v>
      </c>
      <c r="V52" s="188">
        <v>11</v>
      </c>
      <c r="W52" s="189" t="s">
        <v>125</v>
      </c>
      <c r="X52" s="189" t="s">
        <v>125</v>
      </c>
      <c r="Y52" s="189" t="s">
        <v>125</v>
      </c>
      <c r="Z52" s="188">
        <v>16760</v>
      </c>
      <c r="AA52" s="188">
        <v>16760</v>
      </c>
      <c r="AB52" s="188">
        <v>0</v>
      </c>
      <c r="AC52" s="188">
        <v>3665687</v>
      </c>
      <c r="AD52" s="188">
        <v>7054</v>
      </c>
      <c r="AE52" s="190">
        <v>3672741</v>
      </c>
      <c r="AY52" s="192"/>
      <c r="AZ52" s="192"/>
    </row>
    <row r="53" spans="1:52" s="191" customFormat="1" ht="15" customHeight="1">
      <c r="A53" s="187" t="s">
        <v>169</v>
      </c>
      <c r="B53" s="188">
        <v>1204</v>
      </c>
      <c r="C53" s="188">
        <v>4</v>
      </c>
      <c r="D53" s="188">
        <v>0</v>
      </c>
      <c r="E53" s="188">
        <v>11179</v>
      </c>
      <c r="F53" s="188">
        <v>22</v>
      </c>
      <c r="G53" s="188">
        <v>18</v>
      </c>
      <c r="H53" s="188">
        <v>12383</v>
      </c>
      <c r="I53" s="188">
        <v>26</v>
      </c>
      <c r="J53" s="188">
        <v>18</v>
      </c>
      <c r="K53" s="188">
        <v>2894</v>
      </c>
      <c r="L53" s="188">
        <v>20164</v>
      </c>
      <c r="M53" s="188">
        <v>23058</v>
      </c>
      <c r="N53" s="188">
        <v>12</v>
      </c>
      <c r="O53" s="188">
        <v>4</v>
      </c>
      <c r="P53" s="188">
        <v>58</v>
      </c>
      <c r="Q53" s="188">
        <v>24</v>
      </c>
      <c r="R53" s="188">
        <v>70</v>
      </c>
      <c r="S53" s="188">
        <v>28</v>
      </c>
      <c r="T53" s="188">
        <v>0</v>
      </c>
      <c r="U53" s="188">
        <v>20</v>
      </c>
      <c r="V53" s="188">
        <v>20</v>
      </c>
      <c r="W53" s="189" t="s">
        <v>125</v>
      </c>
      <c r="X53" s="189" t="s">
        <v>125</v>
      </c>
      <c r="Y53" s="189" t="s">
        <v>125</v>
      </c>
      <c r="Z53" s="188">
        <v>13258</v>
      </c>
      <c r="AA53" s="188">
        <v>13258</v>
      </c>
      <c r="AB53" s="188">
        <v>0</v>
      </c>
      <c r="AC53" s="188">
        <v>3064675</v>
      </c>
      <c r="AD53" s="188">
        <v>5843</v>
      </c>
      <c r="AE53" s="190">
        <v>3070518</v>
      </c>
      <c r="AY53" s="192"/>
      <c r="AZ53" s="192"/>
    </row>
    <row r="54" spans="1:52" s="191" customFormat="1" ht="15" customHeight="1">
      <c r="A54" s="187" t="s">
        <v>170</v>
      </c>
      <c r="B54" s="188">
        <v>11</v>
      </c>
      <c r="C54" s="188">
        <v>0</v>
      </c>
      <c r="D54" s="188">
        <v>0</v>
      </c>
      <c r="E54" s="188">
        <v>153</v>
      </c>
      <c r="F54" s="188">
        <v>0</v>
      </c>
      <c r="G54" s="188">
        <v>0</v>
      </c>
      <c r="H54" s="188">
        <v>164</v>
      </c>
      <c r="I54" s="188">
        <v>0</v>
      </c>
      <c r="J54" s="188">
        <v>0</v>
      </c>
      <c r="K54" s="188">
        <v>28</v>
      </c>
      <c r="L54" s="188">
        <v>247</v>
      </c>
      <c r="M54" s="188">
        <v>275</v>
      </c>
      <c r="N54" s="188">
        <v>0</v>
      </c>
      <c r="O54" s="188">
        <v>0</v>
      </c>
      <c r="P54" s="188">
        <v>0</v>
      </c>
      <c r="Q54" s="188">
        <v>0</v>
      </c>
      <c r="R54" s="188">
        <v>0</v>
      </c>
      <c r="S54" s="188">
        <v>0</v>
      </c>
      <c r="T54" s="188">
        <v>0</v>
      </c>
      <c r="U54" s="188">
        <v>0</v>
      </c>
      <c r="V54" s="188">
        <v>0</v>
      </c>
      <c r="W54" s="189" t="s">
        <v>125</v>
      </c>
      <c r="X54" s="189" t="s">
        <v>125</v>
      </c>
      <c r="Y54" s="189" t="s">
        <v>125</v>
      </c>
      <c r="Z54" s="188">
        <v>166</v>
      </c>
      <c r="AA54" s="188">
        <v>166</v>
      </c>
      <c r="AB54" s="188">
        <v>0</v>
      </c>
      <c r="AC54" s="188">
        <v>36196</v>
      </c>
      <c r="AD54" s="188">
        <v>0</v>
      </c>
      <c r="AE54" s="190">
        <v>36196</v>
      </c>
      <c r="AY54" s="192"/>
      <c r="AZ54" s="192"/>
    </row>
    <row r="55" spans="1:52" s="191" customFormat="1" ht="15" customHeight="1">
      <c r="A55" s="187" t="s">
        <v>171</v>
      </c>
      <c r="B55" s="188">
        <v>379</v>
      </c>
      <c r="C55" s="188">
        <v>1</v>
      </c>
      <c r="D55" s="188">
        <v>0</v>
      </c>
      <c r="E55" s="188">
        <v>2748</v>
      </c>
      <c r="F55" s="188">
        <v>8</v>
      </c>
      <c r="G55" s="188">
        <v>2</v>
      </c>
      <c r="H55" s="188">
        <v>3127</v>
      </c>
      <c r="I55" s="188">
        <v>9</v>
      </c>
      <c r="J55" s="188">
        <v>2</v>
      </c>
      <c r="K55" s="188">
        <v>1005</v>
      </c>
      <c r="L55" s="188">
        <v>5505</v>
      </c>
      <c r="M55" s="188">
        <v>6510</v>
      </c>
      <c r="N55" s="188">
        <v>2</v>
      </c>
      <c r="O55" s="188">
        <v>1</v>
      </c>
      <c r="P55" s="188">
        <v>27</v>
      </c>
      <c r="Q55" s="188">
        <v>10</v>
      </c>
      <c r="R55" s="188">
        <v>29</v>
      </c>
      <c r="S55" s="188">
        <v>11</v>
      </c>
      <c r="T55" s="188">
        <v>0</v>
      </c>
      <c r="U55" s="188">
        <v>3</v>
      </c>
      <c r="V55" s="188">
        <v>3</v>
      </c>
      <c r="W55" s="189" t="s">
        <v>125</v>
      </c>
      <c r="X55" s="189" t="s">
        <v>125</v>
      </c>
      <c r="Y55" s="189" t="s">
        <v>125</v>
      </c>
      <c r="Z55" s="188">
        <v>3355</v>
      </c>
      <c r="AA55" s="188">
        <v>3355</v>
      </c>
      <c r="AB55" s="188">
        <v>0</v>
      </c>
      <c r="AC55" s="188">
        <v>865099</v>
      </c>
      <c r="AD55" s="188">
        <v>1190</v>
      </c>
      <c r="AE55" s="190">
        <v>866289</v>
      </c>
      <c r="AY55" s="192"/>
      <c r="AZ55" s="192"/>
    </row>
    <row r="56" spans="1:52" s="191" customFormat="1" ht="15" customHeight="1">
      <c r="A56" s="187" t="s">
        <v>172</v>
      </c>
      <c r="B56" s="188">
        <v>2403</v>
      </c>
      <c r="C56" s="188">
        <v>25</v>
      </c>
      <c r="D56" s="188">
        <v>0</v>
      </c>
      <c r="E56" s="188">
        <v>18425</v>
      </c>
      <c r="F56" s="188">
        <v>149</v>
      </c>
      <c r="G56" s="188">
        <v>58</v>
      </c>
      <c r="H56" s="188">
        <v>20828</v>
      </c>
      <c r="I56" s="188">
        <v>174</v>
      </c>
      <c r="J56" s="188">
        <v>58</v>
      </c>
      <c r="K56" s="188">
        <v>5740</v>
      </c>
      <c r="L56" s="188">
        <v>33283</v>
      </c>
      <c r="M56" s="188">
        <v>39023</v>
      </c>
      <c r="N56" s="188">
        <v>70</v>
      </c>
      <c r="O56" s="188">
        <v>27</v>
      </c>
      <c r="P56" s="188">
        <v>353</v>
      </c>
      <c r="Q56" s="188">
        <v>168</v>
      </c>
      <c r="R56" s="188">
        <v>423</v>
      </c>
      <c r="S56" s="188">
        <v>195</v>
      </c>
      <c r="T56" s="188">
        <v>0</v>
      </c>
      <c r="U56" s="188">
        <v>83</v>
      </c>
      <c r="V56" s="188">
        <v>83</v>
      </c>
      <c r="W56" s="189" t="s">
        <v>125</v>
      </c>
      <c r="X56" s="189" t="s">
        <v>125</v>
      </c>
      <c r="Y56" s="189" t="s">
        <v>125</v>
      </c>
      <c r="Z56" s="188">
        <v>22174</v>
      </c>
      <c r="AA56" s="188">
        <v>22174</v>
      </c>
      <c r="AB56" s="188">
        <v>0</v>
      </c>
      <c r="AC56" s="188">
        <v>5472959</v>
      </c>
      <c r="AD56" s="188">
        <v>29320</v>
      </c>
      <c r="AE56" s="190">
        <v>5502279</v>
      </c>
      <c r="AY56" s="192"/>
      <c r="AZ56" s="192"/>
    </row>
    <row r="57" spans="1:52" s="191" customFormat="1" ht="15" customHeight="1">
      <c r="A57" s="187" t="s">
        <v>173</v>
      </c>
      <c r="B57" s="188">
        <v>1317</v>
      </c>
      <c r="C57" s="188">
        <v>41</v>
      </c>
      <c r="D57" s="188">
        <v>0</v>
      </c>
      <c r="E57" s="188">
        <v>15739</v>
      </c>
      <c r="F57" s="188">
        <v>230</v>
      </c>
      <c r="G57" s="188">
        <v>48</v>
      </c>
      <c r="H57" s="188">
        <v>17056</v>
      </c>
      <c r="I57" s="188">
        <v>271</v>
      </c>
      <c r="J57" s="188">
        <v>48</v>
      </c>
      <c r="K57" s="188">
        <v>3186</v>
      </c>
      <c r="L57" s="188">
        <v>26515</v>
      </c>
      <c r="M57" s="188">
        <v>29701</v>
      </c>
      <c r="N57" s="188">
        <v>103</v>
      </c>
      <c r="O57" s="188">
        <v>48</v>
      </c>
      <c r="P57" s="188">
        <v>556</v>
      </c>
      <c r="Q57" s="188">
        <v>248</v>
      </c>
      <c r="R57" s="188">
        <v>659</v>
      </c>
      <c r="S57" s="188">
        <v>296</v>
      </c>
      <c r="T57" s="188">
        <v>0</v>
      </c>
      <c r="U57" s="188">
        <v>63</v>
      </c>
      <c r="V57" s="188">
        <v>63</v>
      </c>
      <c r="W57" s="189" t="s">
        <v>125</v>
      </c>
      <c r="X57" s="189" t="s">
        <v>125</v>
      </c>
      <c r="Y57" s="189" t="s">
        <v>125</v>
      </c>
      <c r="Z57" s="188">
        <v>19471</v>
      </c>
      <c r="AA57" s="188">
        <v>19471</v>
      </c>
      <c r="AB57" s="188">
        <v>0</v>
      </c>
      <c r="AC57" s="188">
        <v>4042382</v>
      </c>
      <c r="AD57" s="188">
        <v>32346</v>
      </c>
      <c r="AE57" s="190">
        <v>4074728</v>
      </c>
      <c r="AY57" s="192"/>
      <c r="AZ57" s="192"/>
    </row>
    <row r="58" spans="1:52" s="191" customFormat="1" ht="15" customHeight="1">
      <c r="A58" s="187" t="s">
        <v>174</v>
      </c>
      <c r="B58" s="188">
        <v>5235</v>
      </c>
      <c r="C58" s="188">
        <v>31</v>
      </c>
      <c r="D58" s="188">
        <v>0</v>
      </c>
      <c r="E58" s="188">
        <v>34320</v>
      </c>
      <c r="F58" s="188">
        <v>181</v>
      </c>
      <c r="G58" s="188">
        <v>31</v>
      </c>
      <c r="H58" s="188">
        <v>39555</v>
      </c>
      <c r="I58" s="188">
        <v>212</v>
      </c>
      <c r="J58" s="188">
        <v>31</v>
      </c>
      <c r="K58" s="188">
        <v>13615</v>
      </c>
      <c r="L58" s="188">
        <v>68873</v>
      </c>
      <c r="M58" s="188">
        <v>82488</v>
      </c>
      <c r="N58" s="188">
        <v>87</v>
      </c>
      <c r="O58" s="188">
        <v>37</v>
      </c>
      <c r="P58" s="188">
        <v>521</v>
      </c>
      <c r="Q58" s="188">
        <v>202</v>
      </c>
      <c r="R58" s="188">
        <v>608</v>
      </c>
      <c r="S58" s="188">
        <v>239</v>
      </c>
      <c r="T58" s="188">
        <v>0</v>
      </c>
      <c r="U58" s="188">
        <v>40</v>
      </c>
      <c r="V58" s="188">
        <v>40</v>
      </c>
      <c r="W58" s="189" t="s">
        <v>125</v>
      </c>
      <c r="X58" s="189" t="s">
        <v>125</v>
      </c>
      <c r="Y58" s="189" t="s">
        <v>125</v>
      </c>
      <c r="Z58" s="188">
        <v>41336</v>
      </c>
      <c r="AA58" s="188">
        <v>41336</v>
      </c>
      <c r="AB58" s="188">
        <v>0</v>
      </c>
      <c r="AC58" s="188">
        <v>11121430</v>
      </c>
      <c r="AD58" s="188">
        <v>27096</v>
      </c>
      <c r="AE58" s="190">
        <v>11148526</v>
      </c>
      <c r="AY58" s="192"/>
      <c r="AZ58" s="192"/>
    </row>
    <row r="59" spans="1:52" s="191" customFormat="1" ht="15" customHeight="1">
      <c r="A59" s="187" t="s">
        <v>215</v>
      </c>
      <c r="B59" s="188">
        <v>696</v>
      </c>
      <c r="C59" s="188">
        <v>15</v>
      </c>
      <c r="D59" s="188">
        <v>0</v>
      </c>
      <c r="E59" s="188">
        <v>4889</v>
      </c>
      <c r="F59" s="188">
        <v>47</v>
      </c>
      <c r="G59" s="188">
        <v>13</v>
      </c>
      <c r="H59" s="188">
        <v>5585</v>
      </c>
      <c r="I59" s="188">
        <v>62</v>
      </c>
      <c r="J59" s="188">
        <v>13</v>
      </c>
      <c r="K59" s="188">
        <v>1950</v>
      </c>
      <c r="L59" s="188">
        <v>10791</v>
      </c>
      <c r="M59" s="188">
        <v>12741</v>
      </c>
      <c r="N59" s="188">
        <v>33</v>
      </c>
      <c r="O59" s="188">
        <v>16</v>
      </c>
      <c r="P59" s="188">
        <v>130</v>
      </c>
      <c r="Q59" s="188">
        <v>60</v>
      </c>
      <c r="R59" s="188">
        <v>163</v>
      </c>
      <c r="S59" s="188">
        <v>76</v>
      </c>
      <c r="T59" s="188">
        <v>0</v>
      </c>
      <c r="U59" s="188">
        <v>18</v>
      </c>
      <c r="V59" s="188">
        <v>18</v>
      </c>
      <c r="W59" s="189" t="s">
        <v>125</v>
      </c>
      <c r="X59" s="189" t="s">
        <v>125</v>
      </c>
      <c r="Y59" s="189" t="s">
        <v>125</v>
      </c>
      <c r="Z59" s="188">
        <v>5962</v>
      </c>
      <c r="AA59" s="188">
        <v>5962</v>
      </c>
      <c r="AB59" s="188">
        <v>0</v>
      </c>
      <c r="AC59" s="188">
        <v>1696090</v>
      </c>
      <c r="AD59" s="188">
        <v>9267</v>
      </c>
      <c r="AE59" s="190">
        <v>1705357</v>
      </c>
      <c r="AY59" s="192"/>
      <c r="AZ59" s="192"/>
    </row>
    <row r="60" spans="1:52" s="191" customFormat="1" ht="15" customHeight="1">
      <c r="A60" s="187" t="s">
        <v>176</v>
      </c>
      <c r="B60" s="188">
        <v>463</v>
      </c>
      <c r="C60" s="188">
        <v>1</v>
      </c>
      <c r="D60" s="188">
        <v>0</v>
      </c>
      <c r="E60" s="188">
        <v>3828</v>
      </c>
      <c r="F60" s="188">
        <v>13</v>
      </c>
      <c r="G60" s="188">
        <v>2</v>
      </c>
      <c r="H60" s="188">
        <v>4291</v>
      </c>
      <c r="I60" s="188">
        <v>14</v>
      </c>
      <c r="J60" s="188">
        <v>2</v>
      </c>
      <c r="K60" s="188">
        <v>1229</v>
      </c>
      <c r="L60" s="188">
        <v>8057</v>
      </c>
      <c r="M60" s="188">
        <v>9286</v>
      </c>
      <c r="N60" s="188">
        <v>1</v>
      </c>
      <c r="O60" s="188">
        <v>1</v>
      </c>
      <c r="P60" s="188">
        <v>36</v>
      </c>
      <c r="Q60" s="188">
        <v>14</v>
      </c>
      <c r="R60" s="188">
        <v>37</v>
      </c>
      <c r="S60" s="188">
        <v>15</v>
      </c>
      <c r="T60" s="188">
        <v>0</v>
      </c>
      <c r="U60" s="188">
        <v>3</v>
      </c>
      <c r="V60" s="188">
        <v>3</v>
      </c>
      <c r="W60" s="189" t="s">
        <v>125</v>
      </c>
      <c r="X60" s="189" t="s">
        <v>125</v>
      </c>
      <c r="Y60" s="189" t="s">
        <v>125</v>
      </c>
      <c r="Z60" s="188">
        <v>4553</v>
      </c>
      <c r="AA60" s="188">
        <v>4553</v>
      </c>
      <c r="AB60" s="188">
        <v>0</v>
      </c>
      <c r="AC60" s="188">
        <v>1188023</v>
      </c>
      <c r="AD60" s="188">
        <v>2671</v>
      </c>
      <c r="AE60" s="190">
        <v>1190694</v>
      </c>
      <c r="AY60" s="192"/>
      <c r="AZ60" s="192"/>
    </row>
    <row r="61" spans="1:52" s="191" customFormat="1" ht="15" customHeight="1">
      <c r="A61" s="187" t="s">
        <v>177</v>
      </c>
      <c r="B61" s="188">
        <v>53</v>
      </c>
      <c r="C61" s="188">
        <v>0</v>
      </c>
      <c r="D61" s="188">
        <v>0</v>
      </c>
      <c r="E61" s="188">
        <v>925</v>
      </c>
      <c r="F61" s="188">
        <v>1</v>
      </c>
      <c r="G61" s="188">
        <v>0</v>
      </c>
      <c r="H61" s="188">
        <v>978</v>
      </c>
      <c r="I61" s="188">
        <v>1</v>
      </c>
      <c r="J61" s="188">
        <v>0</v>
      </c>
      <c r="K61" s="188">
        <v>123</v>
      </c>
      <c r="L61" s="188">
        <v>1616</v>
      </c>
      <c r="M61" s="188">
        <v>1739</v>
      </c>
      <c r="N61" s="188">
        <v>0</v>
      </c>
      <c r="O61" s="188">
        <v>0</v>
      </c>
      <c r="P61" s="188">
        <v>2</v>
      </c>
      <c r="Q61" s="188">
        <v>1</v>
      </c>
      <c r="R61" s="188">
        <v>2</v>
      </c>
      <c r="S61" s="188">
        <v>1</v>
      </c>
      <c r="T61" s="188">
        <v>0</v>
      </c>
      <c r="U61" s="188">
        <v>0</v>
      </c>
      <c r="V61" s="188">
        <v>0</v>
      </c>
      <c r="W61" s="189" t="s">
        <v>125</v>
      </c>
      <c r="X61" s="189" t="s">
        <v>125</v>
      </c>
      <c r="Y61" s="189" t="s">
        <v>125</v>
      </c>
      <c r="Z61" s="188">
        <v>1062</v>
      </c>
      <c r="AA61" s="188">
        <v>1062</v>
      </c>
      <c r="AB61" s="188">
        <v>0</v>
      </c>
      <c r="AC61" s="188">
        <v>245017</v>
      </c>
      <c r="AD61" s="188">
        <v>53</v>
      </c>
      <c r="AE61" s="190">
        <v>245070</v>
      </c>
      <c r="AY61" s="192"/>
      <c r="AZ61" s="192"/>
    </row>
    <row r="62" spans="1:52" s="191" customFormat="1" ht="15" customHeight="1">
      <c r="A62" s="187" t="s">
        <v>178</v>
      </c>
      <c r="B62" s="188">
        <v>7353</v>
      </c>
      <c r="C62" s="188">
        <v>66</v>
      </c>
      <c r="D62" s="188">
        <v>0</v>
      </c>
      <c r="E62" s="188">
        <v>43123</v>
      </c>
      <c r="F62" s="188">
        <v>769</v>
      </c>
      <c r="G62" s="188">
        <v>209</v>
      </c>
      <c r="H62" s="188">
        <v>50476</v>
      </c>
      <c r="I62" s="188">
        <v>835</v>
      </c>
      <c r="J62" s="188">
        <v>209</v>
      </c>
      <c r="K62" s="188">
        <v>20145</v>
      </c>
      <c r="L62" s="188">
        <v>96702</v>
      </c>
      <c r="M62" s="188">
        <v>116847</v>
      </c>
      <c r="N62" s="188">
        <v>158</v>
      </c>
      <c r="O62" s="188">
        <v>74</v>
      </c>
      <c r="P62" s="188">
        <v>2128</v>
      </c>
      <c r="Q62" s="188">
        <v>855</v>
      </c>
      <c r="R62" s="188">
        <v>2286</v>
      </c>
      <c r="S62" s="188">
        <v>929</v>
      </c>
      <c r="T62" s="188">
        <v>0</v>
      </c>
      <c r="U62" s="188">
        <v>259</v>
      </c>
      <c r="V62" s="188">
        <v>259</v>
      </c>
      <c r="W62" s="189" t="s">
        <v>125</v>
      </c>
      <c r="X62" s="189" t="s">
        <v>125</v>
      </c>
      <c r="Y62" s="189" t="s">
        <v>125</v>
      </c>
      <c r="Z62" s="188">
        <v>59238</v>
      </c>
      <c r="AA62" s="188">
        <v>59238</v>
      </c>
      <c r="AB62" s="188">
        <v>0</v>
      </c>
      <c r="AC62" s="188">
        <v>16035963</v>
      </c>
      <c r="AD62" s="188">
        <v>135153</v>
      </c>
      <c r="AE62" s="190">
        <v>16171116</v>
      </c>
      <c r="AY62" s="192"/>
      <c r="AZ62" s="192"/>
    </row>
    <row r="63" spans="1:52" s="191" customFormat="1" ht="15" customHeight="1">
      <c r="A63" s="187" t="s">
        <v>179</v>
      </c>
      <c r="B63" s="188">
        <v>276</v>
      </c>
      <c r="C63" s="188">
        <v>1</v>
      </c>
      <c r="D63" s="188">
        <v>0</v>
      </c>
      <c r="E63" s="188">
        <v>2629</v>
      </c>
      <c r="F63" s="188">
        <v>2</v>
      </c>
      <c r="G63" s="188">
        <v>1</v>
      </c>
      <c r="H63" s="188">
        <v>2905</v>
      </c>
      <c r="I63" s="188">
        <v>3</v>
      </c>
      <c r="J63" s="188">
        <v>1</v>
      </c>
      <c r="K63" s="188">
        <v>710</v>
      </c>
      <c r="L63" s="188">
        <v>4390</v>
      </c>
      <c r="M63" s="188">
        <v>5100</v>
      </c>
      <c r="N63" s="188">
        <v>4</v>
      </c>
      <c r="O63" s="188">
        <v>2</v>
      </c>
      <c r="P63" s="188">
        <v>2</v>
      </c>
      <c r="Q63" s="188">
        <v>2</v>
      </c>
      <c r="R63" s="188">
        <v>6</v>
      </c>
      <c r="S63" s="188">
        <v>4</v>
      </c>
      <c r="T63" s="188">
        <v>0</v>
      </c>
      <c r="U63" s="188">
        <v>2</v>
      </c>
      <c r="V63" s="188">
        <v>2</v>
      </c>
      <c r="W63" s="189" t="s">
        <v>125</v>
      </c>
      <c r="X63" s="189" t="s">
        <v>125</v>
      </c>
      <c r="Y63" s="189" t="s">
        <v>125</v>
      </c>
      <c r="Z63" s="188">
        <v>3030</v>
      </c>
      <c r="AA63" s="188">
        <v>3030</v>
      </c>
      <c r="AB63" s="188">
        <v>0</v>
      </c>
      <c r="AC63" s="188">
        <v>669096</v>
      </c>
      <c r="AD63" s="188">
        <v>520</v>
      </c>
      <c r="AE63" s="190">
        <v>669616</v>
      </c>
      <c r="AY63" s="192"/>
      <c r="AZ63" s="192"/>
    </row>
    <row r="64" spans="1:52" s="191" customFormat="1" ht="15" customHeight="1">
      <c r="A64" s="187" t="s">
        <v>180</v>
      </c>
      <c r="B64" s="188">
        <v>2750</v>
      </c>
      <c r="C64" s="188">
        <v>21</v>
      </c>
      <c r="D64" s="188">
        <v>0</v>
      </c>
      <c r="E64" s="188">
        <v>32329</v>
      </c>
      <c r="F64" s="188">
        <v>327</v>
      </c>
      <c r="G64" s="188">
        <v>223</v>
      </c>
      <c r="H64" s="188">
        <v>35079</v>
      </c>
      <c r="I64" s="188">
        <v>348</v>
      </c>
      <c r="J64" s="188">
        <v>223</v>
      </c>
      <c r="K64" s="188">
        <v>7035</v>
      </c>
      <c r="L64" s="188">
        <v>63001</v>
      </c>
      <c r="M64" s="188">
        <v>70036</v>
      </c>
      <c r="N64" s="188">
        <v>49</v>
      </c>
      <c r="O64" s="188">
        <v>29</v>
      </c>
      <c r="P64" s="188">
        <v>777</v>
      </c>
      <c r="Q64" s="188">
        <v>384</v>
      </c>
      <c r="R64" s="188">
        <v>826</v>
      </c>
      <c r="S64" s="188">
        <v>413</v>
      </c>
      <c r="T64" s="188">
        <v>0</v>
      </c>
      <c r="U64" s="188">
        <v>287</v>
      </c>
      <c r="V64" s="188">
        <v>287</v>
      </c>
      <c r="W64" s="189" t="s">
        <v>125</v>
      </c>
      <c r="X64" s="189" t="s">
        <v>125</v>
      </c>
      <c r="Y64" s="189" t="s">
        <v>125</v>
      </c>
      <c r="Z64" s="188">
        <v>10771</v>
      </c>
      <c r="AA64" s="188">
        <v>10771</v>
      </c>
      <c r="AB64" s="188">
        <v>0</v>
      </c>
      <c r="AC64" s="188">
        <v>9461473</v>
      </c>
      <c r="AD64" s="188">
        <v>122887</v>
      </c>
      <c r="AE64" s="190">
        <v>9584360</v>
      </c>
      <c r="AY64" s="192"/>
      <c r="AZ64" s="192"/>
    </row>
    <row r="65" spans="1:52" s="191" customFormat="1" ht="15" customHeight="1">
      <c r="A65" s="187" t="s">
        <v>181</v>
      </c>
      <c r="B65" s="188">
        <v>800</v>
      </c>
      <c r="C65" s="188">
        <v>39</v>
      </c>
      <c r="D65" s="188">
        <v>2</v>
      </c>
      <c r="E65" s="188">
        <v>9003</v>
      </c>
      <c r="F65" s="188">
        <v>139</v>
      </c>
      <c r="G65" s="188">
        <v>60</v>
      </c>
      <c r="H65" s="188">
        <v>9803</v>
      </c>
      <c r="I65" s="188">
        <v>178</v>
      </c>
      <c r="J65" s="188">
        <v>62</v>
      </c>
      <c r="K65" s="188">
        <v>2055</v>
      </c>
      <c r="L65" s="188">
        <v>16641</v>
      </c>
      <c r="M65" s="188">
        <v>18696</v>
      </c>
      <c r="N65" s="188">
        <v>92</v>
      </c>
      <c r="O65" s="188">
        <v>60</v>
      </c>
      <c r="P65" s="188">
        <v>376</v>
      </c>
      <c r="Q65" s="188">
        <v>201</v>
      </c>
      <c r="R65" s="188">
        <v>468</v>
      </c>
      <c r="S65" s="188">
        <v>261</v>
      </c>
      <c r="T65" s="188">
        <v>7</v>
      </c>
      <c r="U65" s="188">
        <v>81</v>
      </c>
      <c r="V65" s="188">
        <v>88</v>
      </c>
      <c r="W65" s="189" t="s">
        <v>125</v>
      </c>
      <c r="X65" s="189" t="s">
        <v>125</v>
      </c>
      <c r="Y65" s="189" t="s">
        <v>125</v>
      </c>
      <c r="Z65" s="188">
        <v>11670</v>
      </c>
      <c r="AA65" s="188">
        <v>11670</v>
      </c>
      <c r="AB65" s="188">
        <v>0</v>
      </c>
      <c r="AC65" s="188">
        <v>2587489</v>
      </c>
      <c r="AD65" s="188">
        <v>40287</v>
      </c>
      <c r="AE65" s="190">
        <v>2627776</v>
      </c>
      <c r="AY65" s="192"/>
      <c r="AZ65" s="192"/>
    </row>
    <row r="66" spans="1:52" s="191" customFormat="1" ht="15" customHeight="1" thickBot="1">
      <c r="A66" s="193" t="s">
        <v>182</v>
      </c>
      <c r="B66" s="194">
        <v>765</v>
      </c>
      <c r="C66" s="194">
        <v>5</v>
      </c>
      <c r="D66" s="194">
        <v>0</v>
      </c>
      <c r="E66" s="194">
        <v>5144</v>
      </c>
      <c r="F66" s="194">
        <v>28</v>
      </c>
      <c r="G66" s="194">
        <v>5</v>
      </c>
      <c r="H66" s="194">
        <v>5909</v>
      </c>
      <c r="I66" s="194">
        <v>33</v>
      </c>
      <c r="J66" s="194">
        <v>5</v>
      </c>
      <c r="K66" s="194">
        <v>2048</v>
      </c>
      <c r="L66" s="194">
        <v>10633</v>
      </c>
      <c r="M66" s="194">
        <v>12681</v>
      </c>
      <c r="N66" s="194">
        <v>13</v>
      </c>
      <c r="O66" s="194">
        <v>7</v>
      </c>
      <c r="P66" s="194">
        <v>85</v>
      </c>
      <c r="Q66" s="194">
        <v>38</v>
      </c>
      <c r="R66" s="194">
        <v>98</v>
      </c>
      <c r="S66" s="194">
        <v>45</v>
      </c>
      <c r="T66" s="194">
        <v>0</v>
      </c>
      <c r="U66" s="194">
        <v>5</v>
      </c>
      <c r="V66" s="194">
        <v>5</v>
      </c>
      <c r="W66" s="195" t="s">
        <v>125</v>
      </c>
      <c r="X66" s="195" t="s">
        <v>125</v>
      </c>
      <c r="Y66" s="195" t="s">
        <v>125</v>
      </c>
      <c r="Z66" s="194">
        <v>6278</v>
      </c>
      <c r="AA66" s="194">
        <v>6278</v>
      </c>
      <c r="AB66" s="194">
        <v>0</v>
      </c>
      <c r="AC66" s="194">
        <v>1717644</v>
      </c>
      <c r="AD66" s="194">
        <v>6403</v>
      </c>
      <c r="AE66" s="196">
        <v>1724047</v>
      </c>
      <c r="AG66" s="197" t="s">
        <v>63</v>
      </c>
      <c r="AY66" s="192"/>
      <c r="AZ66" s="192"/>
    </row>
    <row r="67" spans="1:52" s="191" customFormat="1" ht="15.75" customHeight="1" thickTop="1">
      <c r="A67" s="198" t="s">
        <v>183</v>
      </c>
      <c r="B67" s="199">
        <f>SUBTOTAL(109,Apr17Data[Cell 1])</f>
        <v>247580</v>
      </c>
      <c r="C67" s="199">
        <f>SUBTOTAL(109,Apr17Data[Cell 2])</f>
        <v>4865</v>
      </c>
      <c r="D67" s="199">
        <f>SUBTOTAL(109,Apr17Data[Cell 3])</f>
        <v>319</v>
      </c>
      <c r="E67" s="199">
        <f>SUBTOTAL(109,Apr17Data[Cell 4])</f>
        <v>1703792</v>
      </c>
      <c r="F67" s="199">
        <f>SUBTOTAL(109,Apr17Data[Cell 5])</f>
        <v>20445</v>
      </c>
      <c r="G67" s="199">
        <f>SUBTOTAL(109,Apr17Data[Cell 6])</f>
        <v>10452</v>
      </c>
      <c r="H67" s="199">
        <f>SUBTOTAL(109,Apr17Data[Cell 15])</f>
        <v>1951372</v>
      </c>
      <c r="I67" s="199">
        <f>SUBTOTAL(109,Apr17Data[Cell 16])</f>
        <v>25310</v>
      </c>
      <c r="J67" s="199">
        <f>SUBTOTAL(109,Apr17Data[Cell 17])</f>
        <v>10771</v>
      </c>
      <c r="K67" s="199">
        <f>SUBTOTAL(109,Apr17Data[Cell 7])</f>
        <v>632213</v>
      </c>
      <c r="L67" s="199">
        <f>SUBTOTAL(109,Apr17Data[Cell 8])</f>
        <v>3379628</v>
      </c>
      <c r="M67" s="199">
        <f>SUBTOTAL(109,Apr17Data[Cell 18])</f>
        <v>4011841</v>
      </c>
      <c r="N67" s="199">
        <f>SUBTOTAL(109,Apr17Data[Cell 9])</f>
        <v>10912</v>
      </c>
      <c r="O67" s="199">
        <f>SUBTOTAL(109,Apr17Data[Cell 10])</f>
        <v>6680</v>
      </c>
      <c r="P67" s="199">
        <f>SUBTOTAL(109,Apr17Data[Cell 11])</f>
        <v>49014</v>
      </c>
      <c r="Q67" s="199">
        <f>SUBTOTAL(109,Apr17Data[Cell 12])</f>
        <v>25164</v>
      </c>
      <c r="R67" s="199">
        <f>SUBTOTAL(109,Apr17Data[Cell 19])</f>
        <v>59926</v>
      </c>
      <c r="S67" s="199">
        <f>SUBTOTAL(109,Apr17Data[Cell 20])</f>
        <v>31844</v>
      </c>
      <c r="T67" s="199">
        <f>SUBTOTAL(109,Apr17Data[Cell 13])</f>
        <v>424</v>
      </c>
      <c r="U67" s="199">
        <f>SUBTOTAL(109,Apr17Data[Cell 14])</f>
        <v>13459</v>
      </c>
      <c r="V67" s="199">
        <f>SUBTOTAL(109,Apr17Data[Cell 21])</f>
        <v>13883</v>
      </c>
      <c r="W67" s="200"/>
      <c r="X67" s="200"/>
      <c r="Y67" s="200"/>
      <c r="Z67" s="199">
        <f>SUBTOTAL(109,Apr17Data[Cell 25])</f>
        <v>2105620</v>
      </c>
      <c r="AA67" s="199">
        <f>SUBTOTAL(109,Apr17Data[Cell 26])</f>
        <v>2105620</v>
      </c>
      <c r="AB67" s="199">
        <f>SUBTOTAL(109,Apr17Data[Cell 27])</f>
        <v>0</v>
      </c>
      <c r="AC67" s="199">
        <f>SUBTOTAL(109,Apr17Data[Cell 28])</f>
        <v>559715330</v>
      </c>
      <c r="AD67" s="199">
        <f>SUBTOTAL(109,Apr17Data[Cell 29])</f>
        <v>5287255</v>
      </c>
      <c r="AE67" s="199">
        <f>SUBTOTAL(109,Apr17Data[Cell 30])</f>
        <v>565002585</v>
      </c>
      <c r="AG67" s="201">
        <v>1146426304</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0"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203</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244081</v>
      </c>
      <c r="F12" s="54">
        <v>2</v>
      </c>
      <c r="G12" s="55">
        <v>4860</v>
      </c>
      <c r="H12" s="54">
        <v>3</v>
      </c>
      <c r="I12" s="55">
        <v>297</v>
      </c>
      <c r="J12" s="54">
        <v>4</v>
      </c>
      <c r="K12" s="55">
        <v>1707219</v>
      </c>
      <c r="L12" s="54">
        <v>5</v>
      </c>
      <c r="M12" s="55">
        <v>20362</v>
      </c>
      <c r="N12" s="54">
        <v>6</v>
      </c>
      <c r="O12" s="55">
        <v>10400</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623007</v>
      </c>
      <c r="F14" s="68"/>
      <c r="G14" s="69"/>
      <c r="H14" s="68"/>
      <c r="I14" s="69"/>
      <c r="J14" s="66"/>
      <c r="K14" s="67">
        <v>3375999</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10938</v>
      </c>
      <c r="F16" s="68"/>
      <c r="G16" s="69"/>
      <c r="H16" s="66"/>
      <c r="I16" s="67">
        <v>6655</v>
      </c>
      <c r="J16" s="66"/>
      <c r="K16" s="67">
        <v>48764</v>
      </c>
      <c r="L16" s="68"/>
      <c r="M16" s="69"/>
      <c r="N16" s="66"/>
      <c r="O16" s="67">
        <v>24972</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386</v>
      </c>
      <c r="J18" s="68"/>
      <c r="K18" s="69"/>
      <c r="L18" s="68"/>
      <c r="M18" s="69"/>
      <c r="N18" s="66"/>
      <c r="O18" s="67">
        <v>13384</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1951300</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25222</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10697</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3999006</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59702</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31627</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13770</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2140060</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2140060</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558534987</v>
      </c>
    </row>
    <row r="37" spans="1:26" ht="17.25" customHeight="1">
      <c r="A37" s="97" t="s">
        <v>59</v>
      </c>
      <c r="B37" s="98" t="s">
        <v>60</v>
      </c>
      <c r="C37" s="98"/>
      <c r="D37" s="99"/>
      <c r="E37" s="98"/>
      <c r="F37" s="98"/>
      <c r="G37" s="98"/>
      <c r="H37" s="98"/>
      <c r="I37" s="98"/>
      <c r="J37" s="103"/>
      <c r="K37" s="103"/>
      <c r="L37" s="103"/>
      <c r="M37" s="103"/>
      <c r="N37" s="124">
        <v>29</v>
      </c>
      <c r="O37" s="125">
        <v>5283329</v>
      </c>
    </row>
    <row r="38" spans="1:26" ht="17.25" customHeight="1">
      <c r="A38" s="97" t="s">
        <v>61</v>
      </c>
      <c r="B38" s="98" t="s">
        <v>62</v>
      </c>
      <c r="C38" s="98"/>
      <c r="D38" s="99"/>
      <c r="E38" s="98"/>
      <c r="F38" s="98"/>
      <c r="G38" s="98"/>
      <c r="H38" s="98"/>
      <c r="I38" s="98"/>
      <c r="J38" s="103"/>
      <c r="K38" s="103"/>
      <c r="L38" s="103"/>
      <c r="M38" s="103"/>
      <c r="N38" s="126">
        <v>30</v>
      </c>
      <c r="O38" s="127">
        <v>563818316</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1144099400</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Z68"/>
  <sheetViews>
    <sheetView showGridLines="0" zoomScale="85" zoomScaleNormal="85"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204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203</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5290</v>
      </c>
      <c r="C9" s="188">
        <v>218</v>
      </c>
      <c r="D9" s="188">
        <v>8</v>
      </c>
      <c r="E9" s="188">
        <v>49565</v>
      </c>
      <c r="F9" s="188">
        <v>1384</v>
      </c>
      <c r="G9" s="188">
        <v>679</v>
      </c>
      <c r="H9" s="188">
        <v>54855</v>
      </c>
      <c r="I9" s="188">
        <v>1602</v>
      </c>
      <c r="J9" s="188">
        <v>687</v>
      </c>
      <c r="K9" s="188">
        <v>12166</v>
      </c>
      <c r="L9" s="188">
        <v>89211</v>
      </c>
      <c r="M9" s="188">
        <v>101377</v>
      </c>
      <c r="N9" s="188">
        <v>503</v>
      </c>
      <c r="O9" s="188">
        <v>296</v>
      </c>
      <c r="P9" s="188">
        <v>3072</v>
      </c>
      <c r="Q9" s="188">
        <v>1804</v>
      </c>
      <c r="R9" s="188">
        <v>3575</v>
      </c>
      <c r="S9" s="188">
        <v>2100</v>
      </c>
      <c r="T9" s="188">
        <v>12</v>
      </c>
      <c r="U9" s="188">
        <v>894</v>
      </c>
      <c r="V9" s="188">
        <v>906</v>
      </c>
      <c r="W9" s="189" t="s">
        <v>125</v>
      </c>
      <c r="X9" s="189" t="s">
        <v>125</v>
      </c>
      <c r="Y9" s="189" t="s">
        <v>125</v>
      </c>
      <c r="Z9" s="188">
        <v>57144</v>
      </c>
      <c r="AA9" s="188">
        <v>57144</v>
      </c>
      <c r="AB9" s="188">
        <v>0</v>
      </c>
      <c r="AC9" s="188">
        <v>14815887</v>
      </c>
      <c r="AD9" s="188">
        <v>339422</v>
      </c>
      <c r="AE9" s="190">
        <v>15155309</v>
      </c>
    </row>
    <row r="10" spans="1:52" ht="15" customHeight="1">
      <c r="A10" s="187" t="s">
        <v>126</v>
      </c>
      <c r="B10" s="188">
        <v>1</v>
      </c>
      <c r="C10" s="188">
        <v>0</v>
      </c>
      <c r="D10" s="188">
        <v>0</v>
      </c>
      <c r="E10" s="188">
        <v>78</v>
      </c>
      <c r="F10" s="188">
        <v>0</v>
      </c>
      <c r="G10" s="188">
        <v>0</v>
      </c>
      <c r="H10" s="188">
        <v>79</v>
      </c>
      <c r="I10" s="188">
        <v>0</v>
      </c>
      <c r="J10" s="188">
        <v>0</v>
      </c>
      <c r="K10" s="188">
        <v>1</v>
      </c>
      <c r="L10" s="188">
        <v>142</v>
      </c>
      <c r="M10" s="188">
        <v>143</v>
      </c>
      <c r="N10" s="188">
        <v>0</v>
      </c>
      <c r="O10" s="188">
        <v>0</v>
      </c>
      <c r="P10" s="188">
        <v>0</v>
      </c>
      <c r="Q10" s="188">
        <v>0</v>
      </c>
      <c r="R10" s="188">
        <v>0</v>
      </c>
      <c r="S10" s="188">
        <v>0</v>
      </c>
      <c r="T10" s="188">
        <v>0</v>
      </c>
      <c r="U10" s="188">
        <v>0</v>
      </c>
      <c r="V10" s="188">
        <v>0</v>
      </c>
      <c r="W10" s="189" t="s">
        <v>125</v>
      </c>
      <c r="X10" s="189" t="s">
        <v>125</v>
      </c>
      <c r="Y10" s="189" t="s">
        <v>125</v>
      </c>
      <c r="Z10" s="188">
        <v>82</v>
      </c>
      <c r="AA10" s="188">
        <v>82</v>
      </c>
      <c r="AB10" s="188">
        <v>0</v>
      </c>
      <c r="AC10" s="188">
        <v>17624</v>
      </c>
      <c r="AD10" s="188">
        <v>0</v>
      </c>
      <c r="AE10" s="190">
        <v>17624</v>
      </c>
    </row>
    <row r="11" spans="1:52" ht="15" customHeight="1">
      <c r="A11" s="187" t="s">
        <v>127</v>
      </c>
      <c r="B11" s="188">
        <v>121</v>
      </c>
      <c r="C11" s="188">
        <v>0</v>
      </c>
      <c r="D11" s="188">
        <v>0</v>
      </c>
      <c r="E11" s="188">
        <v>1543</v>
      </c>
      <c r="F11" s="188">
        <v>2</v>
      </c>
      <c r="G11" s="188">
        <v>1</v>
      </c>
      <c r="H11" s="188">
        <v>1664</v>
      </c>
      <c r="I11" s="188">
        <v>2</v>
      </c>
      <c r="J11" s="188">
        <v>1</v>
      </c>
      <c r="K11" s="188">
        <v>309</v>
      </c>
      <c r="L11" s="188">
        <v>2728</v>
      </c>
      <c r="M11" s="188">
        <v>3037</v>
      </c>
      <c r="N11" s="188">
        <v>0</v>
      </c>
      <c r="O11" s="188">
        <v>0</v>
      </c>
      <c r="P11" s="188">
        <v>7</v>
      </c>
      <c r="Q11" s="188">
        <v>2</v>
      </c>
      <c r="R11" s="188">
        <v>7</v>
      </c>
      <c r="S11" s="188">
        <v>2</v>
      </c>
      <c r="T11" s="188">
        <v>0</v>
      </c>
      <c r="U11" s="188">
        <v>1</v>
      </c>
      <c r="V11" s="188">
        <v>1</v>
      </c>
      <c r="W11" s="189" t="s">
        <v>125</v>
      </c>
      <c r="X11" s="189" t="s">
        <v>125</v>
      </c>
      <c r="Y11" s="189" t="s">
        <v>125</v>
      </c>
      <c r="Z11" s="188">
        <v>1749</v>
      </c>
      <c r="AA11" s="188">
        <v>1749</v>
      </c>
      <c r="AB11" s="188">
        <v>0</v>
      </c>
      <c r="AC11" s="188">
        <v>399841</v>
      </c>
      <c r="AD11" s="188">
        <v>16</v>
      </c>
      <c r="AE11" s="190">
        <v>399857</v>
      </c>
    </row>
    <row r="12" spans="1:52" ht="15" customHeight="1">
      <c r="A12" s="187" t="s">
        <v>128</v>
      </c>
      <c r="B12" s="188">
        <v>1540</v>
      </c>
      <c r="C12" s="188">
        <v>8</v>
      </c>
      <c r="D12" s="188">
        <v>0</v>
      </c>
      <c r="E12" s="188">
        <v>15142</v>
      </c>
      <c r="F12" s="188">
        <v>45</v>
      </c>
      <c r="G12" s="188">
        <v>24</v>
      </c>
      <c r="H12" s="188">
        <v>16682</v>
      </c>
      <c r="I12" s="188">
        <v>53</v>
      </c>
      <c r="J12" s="188">
        <v>24</v>
      </c>
      <c r="K12" s="188">
        <v>3818</v>
      </c>
      <c r="L12" s="188">
        <v>27013</v>
      </c>
      <c r="M12" s="188">
        <v>30831</v>
      </c>
      <c r="N12" s="188">
        <v>14</v>
      </c>
      <c r="O12" s="188">
        <v>8</v>
      </c>
      <c r="P12" s="188">
        <v>125</v>
      </c>
      <c r="Q12" s="188">
        <v>48</v>
      </c>
      <c r="R12" s="188">
        <v>139</v>
      </c>
      <c r="S12" s="188">
        <v>56</v>
      </c>
      <c r="T12" s="188">
        <v>0</v>
      </c>
      <c r="U12" s="188">
        <v>28</v>
      </c>
      <c r="V12" s="188">
        <v>28</v>
      </c>
      <c r="W12" s="189" t="s">
        <v>125</v>
      </c>
      <c r="X12" s="189" t="s">
        <v>125</v>
      </c>
      <c r="Y12" s="189" t="s">
        <v>125</v>
      </c>
      <c r="Z12" s="188">
        <v>17726</v>
      </c>
      <c r="AA12" s="188">
        <v>17726</v>
      </c>
      <c r="AB12" s="188">
        <v>0</v>
      </c>
      <c r="AC12" s="188">
        <v>4251706</v>
      </c>
      <c r="AD12" s="188">
        <v>10585</v>
      </c>
      <c r="AE12" s="190">
        <v>4262291</v>
      </c>
    </row>
    <row r="13" spans="1:52" ht="15" customHeight="1">
      <c r="A13" s="187" t="s">
        <v>129</v>
      </c>
      <c r="B13" s="188">
        <v>196</v>
      </c>
      <c r="C13" s="188">
        <v>0</v>
      </c>
      <c r="D13" s="188">
        <v>0</v>
      </c>
      <c r="E13" s="188">
        <v>2587</v>
      </c>
      <c r="F13" s="188">
        <v>4</v>
      </c>
      <c r="G13" s="188">
        <v>4</v>
      </c>
      <c r="H13" s="188">
        <v>2783</v>
      </c>
      <c r="I13" s="188">
        <v>4</v>
      </c>
      <c r="J13" s="188">
        <v>4</v>
      </c>
      <c r="K13" s="188">
        <v>519</v>
      </c>
      <c r="L13" s="188">
        <v>4497</v>
      </c>
      <c r="M13" s="188">
        <v>5016</v>
      </c>
      <c r="N13" s="188">
        <v>0</v>
      </c>
      <c r="O13" s="188">
        <v>0</v>
      </c>
      <c r="P13" s="188">
        <v>8</v>
      </c>
      <c r="Q13" s="188">
        <v>5</v>
      </c>
      <c r="R13" s="188">
        <v>8</v>
      </c>
      <c r="S13" s="188">
        <v>5</v>
      </c>
      <c r="T13" s="188">
        <v>0</v>
      </c>
      <c r="U13" s="188">
        <v>5</v>
      </c>
      <c r="V13" s="188">
        <v>5</v>
      </c>
      <c r="W13" s="189" t="s">
        <v>125</v>
      </c>
      <c r="X13" s="189" t="s">
        <v>125</v>
      </c>
      <c r="Y13" s="189" t="s">
        <v>125</v>
      </c>
      <c r="Z13" s="188">
        <v>2911</v>
      </c>
      <c r="AA13" s="188">
        <v>2911</v>
      </c>
      <c r="AB13" s="188">
        <v>0</v>
      </c>
      <c r="AC13" s="188">
        <v>668880</v>
      </c>
      <c r="AD13" s="188">
        <v>1308</v>
      </c>
      <c r="AE13" s="190">
        <v>670188</v>
      </c>
    </row>
    <row r="14" spans="1:52" ht="15" customHeight="1">
      <c r="A14" s="187" t="s">
        <v>130</v>
      </c>
      <c r="B14" s="188">
        <v>82</v>
      </c>
      <c r="C14" s="188">
        <v>3</v>
      </c>
      <c r="D14" s="188">
        <v>0</v>
      </c>
      <c r="E14" s="188">
        <v>618</v>
      </c>
      <c r="F14" s="188">
        <v>3</v>
      </c>
      <c r="G14" s="188">
        <v>1</v>
      </c>
      <c r="H14" s="188">
        <v>700</v>
      </c>
      <c r="I14" s="188">
        <v>6</v>
      </c>
      <c r="J14" s="188">
        <v>1</v>
      </c>
      <c r="K14" s="188">
        <v>198</v>
      </c>
      <c r="L14" s="188">
        <v>1408</v>
      </c>
      <c r="M14" s="188">
        <v>1606</v>
      </c>
      <c r="N14" s="188">
        <v>7</v>
      </c>
      <c r="O14" s="188">
        <v>3</v>
      </c>
      <c r="P14" s="188">
        <v>7</v>
      </c>
      <c r="Q14" s="188">
        <v>3</v>
      </c>
      <c r="R14" s="188">
        <v>14</v>
      </c>
      <c r="S14" s="188">
        <v>6</v>
      </c>
      <c r="T14" s="188">
        <v>0</v>
      </c>
      <c r="U14" s="188">
        <v>1</v>
      </c>
      <c r="V14" s="188">
        <v>1</v>
      </c>
      <c r="W14" s="189" t="s">
        <v>125</v>
      </c>
      <c r="X14" s="189" t="s">
        <v>125</v>
      </c>
      <c r="Y14" s="189" t="s">
        <v>125</v>
      </c>
      <c r="Z14" s="188">
        <v>758</v>
      </c>
      <c r="AA14" s="188">
        <v>758</v>
      </c>
      <c r="AB14" s="188">
        <v>0</v>
      </c>
      <c r="AC14" s="188">
        <v>202169</v>
      </c>
      <c r="AD14" s="188">
        <v>592</v>
      </c>
      <c r="AE14" s="190">
        <v>202761</v>
      </c>
    </row>
    <row r="15" spans="1:52" ht="15" customHeight="1">
      <c r="A15" s="187" t="s">
        <v>131</v>
      </c>
      <c r="B15" s="188">
        <v>3760</v>
      </c>
      <c r="C15" s="188">
        <v>108</v>
      </c>
      <c r="D15" s="188">
        <v>1</v>
      </c>
      <c r="E15" s="188">
        <v>26978</v>
      </c>
      <c r="F15" s="188">
        <v>383</v>
      </c>
      <c r="G15" s="188">
        <v>128</v>
      </c>
      <c r="H15" s="188">
        <v>30738</v>
      </c>
      <c r="I15" s="188">
        <v>491</v>
      </c>
      <c r="J15" s="188">
        <v>129</v>
      </c>
      <c r="K15" s="188">
        <v>8724</v>
      </c>
      <c r="L15" s="188">
        <v>51830</v>
      </c>
      <c r="M15" s="188">
        <v>60554</v>
      </c>
      <c r="N15" s="188">
        <v>264</v>
      </c>
      <c r="O15" s="188">
        <v>164</v>
      </c>
      <c r="P15" s="188">
        <v>915</v>
      </c>
      <c r="Q15" s="188">
        <v>514</v>
      </c>
      <c r="R15" s="188">
        <v>1179</v>
      </c>
      <c r="S15" s="188">
        <v>678</v>
      </c>
      <c r="T15" s="188">
        <v>1</v>
      </c>
      <c r="U15" s="188">
        <v>167</v>
      </c>
      <c r="V15" s="188">
        <v>168</v>
      </c>
      <c r="W15" s="189" t="s">
        <v>125</v>
      </c>
      <c r="X15" s="189" t="s">
        <v>125</v>
      </c>
      <c r="Y15" s="189" t="s">
        <v>125</v>
      </c>
      <c r="Z15" s="188">
        <v>36587</v>
      </c>
      <c r="AA15" s="188">
        <v>36587</v>
      </c>
      <c r="AB15" s="188">
        <v>0</v>
      </c>
      <c r="AC15" s="188">
        <v>8751353</v>
      </c>
      <c r="AD15" s="188">
        <v>82877</v>
      </c>
      <c r="AE15" s="190">
        <v>8834230</v>
      </c>
    </row>
    <row r="16" spans="1:52" s="191" customFormat="1" ht="15" customHeight="1">
      <c r="A16" s="187" t="s">
        <v>132</v>
      </c>
      <c r="B16" s="188">
        <v>378</v>
      </c>
      <c r="C16" s="188">
        <v>0</v>
      </c>
      <c r="D16" s="188">
        <v>0</v>
      </c>
      <c r="E16" s="188">
        <v>2187</v>
      </c>
      <c r="F16" s="188">
        <v>0</v>
      </c>
      <c r="G16" s="188">
        <v>1</v>
      </c>
      <c r="H16" s="188">
        <v>2565</v>
      </c>
      <c r="I16" s="188">
        <v>0</v>
      </c>
      <c r="J16" s="188">
        <v>1</v>
      </c>
      <c r="K16" s="188">
        <v>1090</v>
      </c>
      <c r="L16" s="188">
        <v>4199</v>
      </c>
      <c r="M16" s="188">
        <v>5289</v>
      </c>
      <c r="N16" s="188">
        <v>0</v>
      </c>
      <c r="O16" s="188">
        <v>0</v>
      </c>
      <c r="P16" s="188">
        <v>0</v>
      </c>
      <c r="Q16" s="188">
        <v>0</v>
      </c>
      <c r="R16" s="188">
        <v>0</v>
      </c>
      <c r="S16" s="188">
        <v>0</v>
      </c>
      <c r="T16" s="188">
        <v>0</v>
      </c>
      <c r="U16" s="188">
        <v>2</v>
      </c>
      <c r="V16" s="188">
        <v>2</v>
      </c>
      <c r="W16" s="189" t="s">
        <v>125</v>
      </c>
      <c r="X16" s="189" t="s">
        <v>125</v>
      </c>
      <c r="Y16" s="189" t="s">
        <v>125</v>
      </c>
      <c r="Z16" s="188">
        <v>2670</v>
      </c>
      <c r="AA16" s="188">
        <v>2670</v>
      </c>
      <c r="AB16" s="188">
        <v>0</v>
      </c>
      <c r="AC16" s="188">
        <v>689791</v>
      </c>
      <c r="AD16" s="188">
        <v>357</v>
      </c>
      <c r="AE16" s="190">
        <v>690148</v>
      </c>
      <c r="AY16" s="192"/>
      <c r="AZ16" s="192"/>
    </row>
    <row r="17" spans="1:52" s="191" customFormat="1" ht="15" customHeight="1">
      <c r="A17" s="187" t="s">
        <v>133</v>
      </c>
      <c r="B17" s="188">
        <v>514</v>
      </c>
      <c r="C17" s="188">
        <v>2</v>
      </c>
      <c r="D17" s="188">
        <v>0</v>
      </c>
      <c r="E17" s="188">
        <v>6324</v>
      </c>
      <c r="F17" s="188">
        <v>27</v>
      </c>
      <c r="G17" s="188">
        <v>7</v>
      </c>
      <c r="H17" s="188">
        <v>6838</v>
      </c>
      <c r="I17" s="188">
        <v>29</v>
      </c>
      <c r="J17" s="188">
        <v>7</v>
      </c>
      <c r="K17" s="188">
        <v>1235</v>
      </c>
      <c r="L17" s="188">
        <v>10860</v>
      </c>
      <c r="M17" s="188">
        <v>12095</v>
      </c>
      <c r="N17" s="188">
        <v>2</v>
      </c>
      <c r="O17" s="188">
        <v>2</v>
      </c>
      <c r="P17" s="188">
        <v>72</v>
      </c>
      <c r="Q17" s="188">
        <v>34</v>
      </c>
      <c r="R17" s="188">
        <v>74</v>
      </c>
      <c r="S17" s="188">
        <v>36</v>
      </c>
      <c r="T17" s="188">
        <v>0</v>
      </c>
      <c r="U17" s="188">
        <v>7</v>
      </c>
      <c r="V17" s="188">
        <v>7</v>
      </c>
      <c r="W17" s="189" t="s">
        <v>125</v>
      </c>
      <c r="X17" s="189" t="s">
        <v>125</v>
      </c>
      <c r="Y17" s="189" t="s">
        <v>125</v>
      </c>
      <c r="Z17" s="188">
        <v>7212</v>
      </c>
      <c r="AA17" s="188">
        <v>7212</v>
      </c>
      <c r="AB17" s="188">
        <v>0</v>
      </c>
      <c r="AC17" s="188">
        <v>1610420</v>
      </c>
      <c r="AD17" s="188">
        <v>3486</v>
      </c>
      <c r="AE17" s="190">
        <v>1613906</v>
      </c>
      <c r="AY17" s="192"/>
      <c r="AZ17" s="192"/>
    </row>
    <row r="18" spans="1:52" s="191" customFormat="1" ht="15" customHeight="1">
      <c r="A18" s="187" t="s">
        <v>134</v>
      </c>
      <c r="B18" s="188">
        <v>11824</v>
      </c>
      <c r="C18" s="188">
        <v>185</v>
      </c>
      <c r="D18" s="188">
        <v>14</v>
      </c>
      <c r="E18" s="188">
        <v>76058</v>
      </c>
      <c r="F18" s="188">
        <v>651</v>
      </c>
      <c r="G18" s="188">
        <v>205</v>
      </c>
      <c r="H18" s="188">
        <v>87882</v>
      </c>
      <c r="I18" s="188">
        <v>836</v>
      </c>
      <c r="J18" s="188">
        <v>219</v>
      </c>
      <c r="K18" s="188">
        <v>32015</v>
      </c>
      <c r="L18" s="188">
        <v>170831</v>
      </c>
      <c r="M18" s="188">
        <v>202846</v>
      </c>
      <c r="N18" s="188">
        <v>473</v>
      </c>
      <c r="O18" s="188">
        <v>228</v>
      </c>
      <c r="P18" s="188">
        <v>1785</v>
      </c>
      <c r="Q18" s="188">
        <v>749</v>
      </c>
      <c r="R18" s="188">
        <v>2258</v>
      </c>
      <c r="S18" s="188">
        <v>977</v>
      </c>
      <c r="T18" s="188">
        <v>25</v>
      </c>
      <c r="U18" s="188">
        <v>259</v>
      </c>
      <c r="V18" s="188">
        <v>284</v>
      </c>
      <c r="W18" s="189" t="s">
        <v>125</v>
      </c>
      <c r="X18" s="189" t="s">
        <v>125</v>
      </c>
      <c r="Y18" s="189" t="s">
        <v>125</v>
      </c>
      <c r="Z18" s="188">
        <v>102658</v>
      </c>
      <c r="AA18" s="188">
        <v>102658</v>
      </c>
      <c r="AB18" s="188">
        <v>0</v>
      </c>
      <c r="AC18" s="188">
        <v>30044841</v>
      </c>
      <c r="AD18" s="188">
        <v>156353</v>
      </c>
      <c r="AE18" s="190">
        <v>30201194</v>
      </c>
      <c r="AY18" s="192"/>
      <c r="AZ18" s="192"/>
    </row>
    <row r="19" spans="1:52" s="191" customFormat="1" ht="15" customHeight="1">
      <c r="A19" s="187" t="s">
        <v>135</v>
      </c>
      <c r="B19" s="188">
        <v>198</v>
      </c>
      <c r="C19" s="188">
        <v>0</v>
      </c>
      <c r="D19" s="188">
        <v>0</v>
      </c>
      <c r="E19" s="188">
        <v>1287</v>
      </c>
      <c r="F19" s="188">
        <v>9</v>
      </c>
      <c r="G19" s="188">
        <v>0</v>
      </c>
      <c r="H19" s="188">
        <v>1485</v>
      </c>
      <c r="I19" s="188">
        <v>9</v>
      </c>
      <c r="J19" s="188">
        <v>0</v>
      </c>
      <c r="K19" s="188">
        <v>520</v>
      </c>
      <c r="L19" s="188">
        <v>2870</v>
      </c>
      <c r="M19" s="188">
        <v>3390</v>
      </c>
      <c r="N19" s="188">
        <v>0</v>
      </c>
      <c r="O19" s="188">
        <v>0</v>
      </c>
      <c r="P19" s="188">
        <v>23</v>
      </c>
      <c r="Q19" s="188">
        <v>8</v>
      </c>
      <c r="R19" s="188">
        <v>23</v>
      </c>
      <c r="S19" s="188">
        <v>8</v>
      </c>
      <c r="T19" s="188">
        <v>0</v>
      </c>
      <c r="U19" s="188">
        <v>0</v>
      </c>
      <c r="V19" s="188">
        <v>0</v>
      </c>
      <c r="W19" s="189" t="s">
        <v>125</v>
      </c>
      <c r="X19" s="189" t="s">
        <v>125</v>
      </c>
      <c r="Y19" s="189" t="s">
        <v>125</v>
      </c>
      <c r="Z19" s="188">
        <v>1587</v>
      </c>
      <c r="AA19" s="188">
        <v>1587</v>
      </c>
      <c r="AB19" s="188">
        <v>0</v>
      </c>
      <c r="AC19" s="188">
        <v>414950</v>
      </c>
      <c r="AD19" s="188">
        <v>619</v>
      </c>
      <c r="AE19" s="190">
        <v>415569</v>
      </c>
      <c r="AY19" s="192"/>
      <c r="AZ19" s="192"/>
    </row>
    <row r="20" spans="1:52" s="191" customFormat="1" ht="15" customHeight="1">
      <c r="A20" s="187" t="s">
        <v>136</v>
      </c>
      <c r="B20" s="188">
        <v>859</v>
      </c>
      <c r="C20" s="188">
        <v>3</v>
      </c>
      <c r="D20" s="188">
        <v>0</v>
      </c>
      <c r="E20" s="188">
        <v>11286</v>
      </c>
      <c r="F20" s="188">
        <v>26</v>
      </c>
      <c r="G20" s="188">
        <v>7</v>
      </c>
      <c r="H20" s="188">
        <v>12145</v>
      </c>
      <c r="I20" s="188">
        <v>29</v>
      </c>
      <c r="J20" s="188">
        <v>7</v>
      </c>
      <c r="K20" s="188">
        <v>2140</v>
      </c>
      <c r="L20" s="188">
        <v>18294</v>
      </c>
      <c r="M20" s="188">
        <v>20434</v>
      </c>
      <c r="N20" s="188">
        <v>3</v>
      </c>
      <c r="O20" s="188">
        <v>4</v>
      </c>
      <c r="P20" s="188">
        <v>58</v>
      </c>
      <c r="Q20" s="188">
        <v>27</v>
      </c>
      <c r="R20" s="188">
        <v>61</v>
      </c>
      <c r="S20" s="188">
        <v>31</v>
      </c>
      <c r="T20" s="188">
        <v>0</v>
      </c>
      <c r="U20" s="188">
        <v>8</v>
      </c>
      <c r="V20" s="188">
        <v>8</v>
      </c>
      <c r="W20" s="189" t="s">
        <v>125</v>
      </c>
      <c r="X20" s="189" t="s">
        <v>125</v>
      </c>
      <c r="Y20" s="189" t="s">
        <v>125</v>
      </c>
      <c r="Z20" s="188">
        <v>12859</v>
      </c>
      <c r="AA20" s="188">
        <v>12859</v>
      </c>
      <c r="AB20" s="188">
        <v>0</v>
      </c>
      <c r="AC20" s="188">
        <v>2872641</v>
      </c>
      <c r="AD20" s="188">
        <v>4938</v>
      </c>
      <c r="AE20" s="190">
        <v>2877579</v>
      </c>
      <c r="AY20" s="192"/>
      <c r="AZ20" s="192"/>
    </row>
    <row r="21" spans="1:52" s="191" customFormat="1" ht="15" customHeight="1">
      <c r="A21" s="187" t="s">
        <v>137</v>
      </c>
      <c r="B21" s="188">
        <v>2225</v>
      </c>
      <c r="C21" s="188">
        <v>31</v>
      </c>
      <c r="D21" s="188">
        <v>1</v>
      </c>
      <c r="E21" s="188">
        <v>14454</v>
      </c>
      <c r="F21" s="188">
        <v>317</v>
      </c>
      <c r="G21" s="188">
        <v>51</v>
      </c>
      <c r="H21" s="188">
        <v>16679</v>
      </c>
      <c r="I21" s="188">
        <v>348</v>
      </c>
      <c r="J21" s="188">
        <v>52</v>
      </c>
      <c r="K21" s="188">
        <v>6290</v>
      </c>
      <c r="L21" s="188">
        <v>33702</v>
      </c>
      <c r="M21" s="188">
        <v>39992</v>
      </c>
      <c r="N21" s="188">
        <v>80</v>
      </c>
      <c r="O21" s="188">
        <v>32</v>
      </c>
      <c r="P21" s="188">
        <v>900</v>
      </c>
      <c r="Q21" s="188">
        <v>344</v>
      </c>
      <c r="R21" s="188">
        <v>980</v>
      </c>
      <c r="S21" s="188">
        <v>376</v>
      </c>
      <c r="T21" s="188">
        <v>1</v>
      </c>
      <c r="U21" s="188">
        <v>54</v>
      </c>
      <c r="V21" s="188">
        <v>55</v>
      </c>
      <c r="W21" s="189" t="s">
        <v>125</v>
      </c>
      <c r="X21" s="189" t="s">
        <v>125</v>
      </c>
      <c r="Y21" s="189" t="s">
        <v>125</v>
      </c>
      <c r="Z21" s="188">
        <v>17913</v>
      </c>
      <c r="AA21" s="188">
        <v>17913</v>
      </c>
      <c r="AB21" s="188">
        <v>0</v>
      </c>
      <c r="AC21" s="188">
        <v>5161519</v>
      </c>
      <c r="AD21" s="188">
        <v>40912</v>
      </c>
      <c r="AE21" s="190">
        <v>5202431</v>
      </c>
      <c r="AY21" s="192"/>
      <c r="AZ21" s="192"/>
    </row>
    <row r="22" spans="1:52" s="191" customFormat="1" ht="15" customHeight="1">
      <c r="A22" s="187" t="s">
        <v>138</v>
      </c>
      <c r="B22" s="188">
        <v>81</v>
      </c>
      <c r="C22" s="188">
        <v>0</v>
      </c>
      <c r="D22" s="188">
        <v>0</v>
      </c>
      <c r="E22" s="188">
        <v>953</v>
      </c>
      <c r="F22" s="188">
        <v>5</v>
      </c>
      <c r="G22" s="188">
        <v>3</v>
      </c>
      <c r="H22" s="188">
        <v>1034</v>
      </c>
      <c r="I22" s="188">
        <v>5</v>
      </c>
      <c r="J22" s="188">
        <v>3</v>
      </c>
      <c r="K22" s="188">
        <v>216</v>
      </c>
      <c r="L22" s="188">
        <v>1749</v>
      </c>
      <c r="M22" s="188">
        <v>1965</v>
      </c>
      <c r="N22" s="188">
        <v>0</v>
      </c>
      <c r="O22" s="188">
        <v>0</v>
      </c>
      <c r="P22" s="188">
        <v>10</v>
      </c>
      <c r="Q22" s="188">
        <v>6</v>
      </c>
      <c r="R22" s="188">
        <v>10</v>
      </c>
      <c r="S22" s="188">
        <v>6</v>
      </c>
      <c r="T22" s="188">
        <v>0</v>
      </c>
      <c r="U22" s="188">
        <v>3</v>
      </c>
      <c r="V22" s="188">
        <v>3</v>
      </c>
      <c r="W22" s="189" t="s">
        <v>125</v>
      </c>
      <c r="X22" s="189" t="s">
        <v>125</v>
      </c>
      <c r="Y22" s="189" t="s">
        <v>125</v>
      </c>
      <c r="Z22" s="188">
        <v>1082</v>
      </c>
      <c r="AA22" s="188">
        <v>1082</v>
      </c>
      <c r="AB22" s="188">
        <v>0</v>
      </c>
      <c r="AC22" s="188">
        <v>257590</v>
      </c>
      <c r="AD22" s="188">
        <v>1027</v>
      </c>
      <c r="AE22" s="190">
        <v>258617</v>
      </c>
      <c r="AY22" s="192"/>
      <c r="AZ22" s="192"/>
    </row>
    <row r="23" spans="1:52" s="191" customFormat="1" ht="15" customHeight="1">
      <c r="A23" s="187" t="s">
        <v>139</v>
      </c>
      <c r="B23" s="188">
        <v>9679</v>
      </c>
      <c r="C23" s="188">
        <v>54</v>
      </c>
      <c r="D23" s="188">
        <v>2</v>
      </c>
      <c r="E23" s="188">
        <v>58537</v>
      </c>
      <c r="F23" s="188">
        <v>445</v>
      </c>
      <c r="G23" s="188">
        <v>259</v>
      </c>
      <c r="H23" s="188">
        <v>68216</v>
      </c>
      <c r="I23" s="188">
        <v>499</v>
      </c>
      <c r="J23" s="188">
        <v>261</v>
      </c>
      <c r="K23" s="188">
        <v>25912</v>
      </c>
      <c r="L23" s="188">
        <v>131726</v>
      </c>
      <c r="M23" s="188">
        <v>157638</v>
      </c>
      <c r="N23" s="188">
        <v>136</v>
      </c>
      <c r="O23" s="188">
        <v>64</v>
      </c>
      <c r="P23" s="188">
        <v>1261</v>
      </c>
      <c r="Q23" s="188">
        <v>491</v>
      </c>
      <c r="R23" s="188">
        <v>1397</v>
      </c>
      <c r="S23" s="188">
        <v>555</v>
      </c>
      <c r="T23" s="188">
        <v>2</v>
      </c>
      <c r="U23" s="188">
        <v>408</v>
      </c>
      <c r="V23" s="188">
        <v>410</v>
      </c>
      <c r="W23" s="189" t="s">
        <v>125</v>
      </c>
      <c r="X23" s="189" t="s">
        <v>125</v>
      </c>
      <c r="Y23" s="189" t="s">
        <v>125</v>
      </c>
      <c r="Z23" s="188">
        <v>72717</v>
      </c>
      <c r="AA23" s="188">
        <v>72717</v>
      </c>
      <c r="AB23" s="188">
        <v>0</v>
      </c>
      <c r="AC23" s="188">
        <v>20984083</v>
      </c>
      <c r="AD23" s="188">
        <v>123083</v>
      </c>
      <c r="AE23" s="190">
        <v>21107166</v>
      </c>
      <c r="AY23" s="192"/>
      <c r="AZ23" s="192"/>
    </row>
    <row r="24" spans="1:52" s="191" customFormat="1" ht="15" customHeight="1">
      <c r="A24" s="187" t="s">
        <v>140</v>
      </c>
      <c r="B24" s="188">
        <v>1469</v>
      </c>
      <c r="C24" s="188">
        <v>15</v>
      </c>
      <c r="D24" s="188">
        <v>0</v>
      </c>
      <c r="E24" s="188">
        <v>8945</v>
      </c>
      <c r="F24" s="188">
        <v>123</v>
      </c>
      <c r="G24" s="188">
        <v>26</v>
      </c>
      <c r="H24" s="188">
        <v>10414</v>
      </c>
      <c r="I24" s="188">
        <v>138</v>
      </c>
      <c r="J24" s="188">
        <v>26</v>
      </c>
      <c r="K24" s="188">
        <v>4014</v>
      </c>
      <c r="L24" s="188">
        <v>19411</v>
      </c>
      <c r="M24" s="188">
        <v>23425</v>
      </c>
      <c r="N24" s="188">
        <v>37</v>
      </c>
      <c r="O24" s="188">
        <v>15</v>
      </c>
      <c r="P24" s="188">
        <v>366</v>
      </c>
      <c r="Q24" s="188">
        <v>132</v>
      </c>
      <c r="R24" s="188">
        <v>403</v>
      </c>
      <c r="S24" s="188">
        <v>147</v>
      </c>
      <c r="T24" s="188">
        <v>0</v>
      </c>
      <c r="U24" s="188">
        <v>30</v>
      </c>
      <c r="V24" s="188">
        <v>30</v>
      </c>
      <c r="W24" s="189" t="s">
        <v>125</v>
      </c>
      <c r="X24" s="189" t="s">
        <v>125</v>
      </c>
      <c r="Y24" s="189" t="s">
        <v>125</v>
      </c>
      <c r="Z24" s="188">
        <v>11123</v>
      </c>
      <c r="AA24" s="188">
        <v>11123</v>
      </c>
      <c r="AB24" s="188">
        <v>0</v>
      </c>
      <c r="AC24" s="188">
        <v>3019842</v>
      </c>
      <c r="AD24" s="188">
        <v>19678</v>
      </c>
      <c r="AE24" s="190">
        <v>3039520</v>
      </c>
      <c r="AY24" s="192"/>
      <c r="AZ24" s="192"/>
    </row>
    <row r="25" spans="1:52" s="191" customFormat="1" ht="15" customHeight="1">
      <c r="A25" s="187" t="s">
        <v>141</v>
      </c>
      <c r="B25" s="188">
        <v>530</v>
      </c>
      <c r="C25" s="188">
        <v>2</v>
      </c>
      <c r="D25" s="188">
        <v>0</v>
      </c>
      <c r="E25" s="188">
        <v>5870</v>
      </c>
      <c r="F25" s="188">
        <v>22</v>
      </c>
      <c r="G25" s="188">
        <v>6</v>
      </c>
      <c r="H25" s="188">
        <v>6400</v>
      </c>
      <c r="I25" s="188">
        <v>24</v>
      </c>
      <c r="J25" s="188">
        <v>6</v>
      </c>
      <c r="K25" s="188">
        <v>1340</v>
      </c>
      <c r="L25" s="188">
        <v>10514</v>
      </c>
      <c r="M25" s="188">
        <v>11854</v>
      </c>
      <c r="N25" s="188">
        <v>4</v>
      </c>
      <c r="O25" s="188">
        <v>2</v>
      </c>
      <c r="P25" s="188">
        <v>50</v>
      </c>
      <c r="Q25" s="188">
        <v>25</v>
      </c>
      <c r="R25" s="188">
        <v>54</v>
      </c>
      <c r="S25" s="188">
        <v>27</v>
      </c>
      <c r="T25" s="188">
        <v>0</v>
      </c>
      <c r="U25" s="188">
        <v>9</v>
      </c>
      <c r="V25" s="188">
        <v>9</v>
      </c>
      <c r="W25" s="189" t="s">
        <v>125</v>
      </c>
      <c r="X25" s="189" t="s">
        <v>125</v>
      </c>
      <c r="Y25" s="189" t="s">
        <v>125</v>
      </c>
      <c r="Z25" s="188">
        <v>6785</v>
      </c>
      <c r="AA25" s="188">
        <v>6785</v>
      </c>
      <c r="AB25" s="188">
        <v>0</v>
      </c>
      <c r="AC25" s="188">
        <v>1604800</v>
      </c>
      <c r="AD25" s="188">
        <v>3159</v>
      </c>
      <c r="AE25" s="190">
        <v>1607959</v>
      </c>
      <c r="AY25" s="192"/>
      <c r="AZ25" s="192"/>
    </row>
    <row r="26" spans="1:52" s="191" customFormat="1" ht="15" customHeight="1">
      <c r="A26" s="187" t="s">
        <v>142</v>
      </c>
      <c r="B26" s="188">
        <v>221</v>
      </c>
      <c r="C26" s="188">
        <v>0</v>
      </c>
      <c r="D26" s="188">
        <v>0</v>
      </c>
      <c r="E26" s="188">
        <v>1356</v>
      </c>
      <c r="F26" s="188">
        <v>2</v>
      </c>
      <c r="G26" s="188">
        <v>0</v>
      </c>
      <c r="H26" s="188">
        <v>1577</v>
      </c>
      <c r="I26" s="188">
        <v>2</v>
      </c>
      <c r="J26" s="188">
        <v>0</v>
      </c>
      <c r="K26" s="188">
        <v>608</v>
      </c>
      <c r="L26" s="188">
        <v>2511</v>
      </c>
      <c r="M26" s="188">
        <v>3119</v>
      </c>
      <c r="N26" s="188">
        <v>0</v>
      </c>
      <c r="O26" s="188">
        <v>0</v>
      </c>
      <c r="P26" s="188">
        <v>6</v>
      </c>
      <c r="Q26" s="188">
        <v>2</v>
      </c>
      <c r="R26" s="188">
        <v>6</v>
      </c>
      <c r="S26" s="188">
        <v>2</v>
      </c>
      <c r="T26" s="188">
        <v>0</v>
      </c>
      <c r="U26" s="188">
        <v>0</v>
      </c>
      <c r="V26" s="188">
        <v>0</v>
      </c>
      <c r="W26" s="189" t="s">
        <v>125</v>
      </c>
      <c r="X26" s="189" t="s">
        <v>125</v>
      </c>
      <c r="Y26" s="189" t="s">
        <v>125</v>
      </c>
      <c r="Z26" s="188">
        <v>1671</v>
      </c>
      <c r="AA26" s="188">
        <v>1671</v>
      </c>
      <c r="AB26" s="188">
        <v>0</v>
      </c>
      <c r="AC26" s="188">
        <v>428817</v>
      </c>
      <c r="AD26" s="188">
        <v>276</v>
      </c>
      <c r="AE26" s="190">
        <v>429093</v>
      </c>
      <c r="AY26" s="192"/>
      <c r="AZ26" s="192"/>
    </row>
    <row r="27" spans="1:52" s="191" customFormat="1" ht="15" customHeight="1">
      <c r="A27" s="187" t="s">
        <v>143</v>
      </c>
      <c r="B27" s="188">
        <v>81382</v>
      </c>
      <c r="C27" s="188">
        <v>2243</v>
      </c>
      <c r="D27" s="188">
        <v>220</v>
      </c>
      <c r="E27" s="188">
        <v>439402</v>
      </c>
      <c r="F27" s="188">
        <v>5148</v>
      </c>
      <c r="G27" s="188">
        <v>3239</v>
      </c>
      <c r="H27" s="188">
        <v>520784</v>
      </c>
      <c r="I27" s="188">
        <v>7391</v>
      </c>
      <c r="J27" s="188">
        <v>3459</v>
      </c>
      <c r="K27" s="188">
        <v>198689</v>
      </c>
      <c r="L27" s="188">
        <v>838485</v>
      </c>
      <c r="M27" s="188">
        <v>1037174</v>
      </c>
      <c r="N27" s="188">
        <v>4725</v>
      </c>
      <c r="O27" s="188">
        <v>3106</v>
      </c>
      <c r="P27" s="188">
        <v>11908</v>
      </c>
      <c r="Q27" s="188">
        <v>6382</v>
      </c>
      <c r="R27" s="188">
        <v>16633</v>
      </c>
      <c r="S27" s="188">
        <v>9488</v>
      </c>
      <c r="T27" s="188">
        <v>267</v>
      </c>
      <c r="U27" s="188">
        <v>4157</v>
      </c>
      <c r="V27" s="188">
        <v>4424</v>
      </c>
      <c r="W27" s="189" t="s">
        <v>125</v>
      </c>
      <c r="X27" s="189" t="s">
        <v>125</v>
      </c>
      <c r="Y27" s="189" t="s">
        <v>125</v>
      </c>
      <c r="Z27" s="188">
        <v>564618</v>
      </c>
      <c r="AA27" s="188">
        <v>564618</v>
      </c>
      <c r="AB27" s="188">
        <v>0</v>
      </c>
      <c r="AC27" s="188">
        <v>151571798</v>
      </c>
      <c r="AD27" s="188">
        <v>1740805</v>
      </c>
      <c r="AE27" s="190">
        <v>153312603</v>
      </c>
      <c r="AY27" s="192"/>
      <c r="AZ27" s="192"/>
    </row>
    <row r="28" spans="1:52" s="191" customFormat="1" ht="15" customHeight="1">
      <c r="A28" s="187" t="s">
        <v>144</v>
      </c>
      <c r="B28" s="188">
        <v>1692</v>
      </c>
      <c r="C28" s="188">
        <v>15</v>
      </c>
      <c r="D28" s="188">
        <v>1</v>
      </c>
      <c r="E28" s="188">
        <v>9868</v>
      </c>
      <c r="F28" s="188">
        <v>62</v>
      </c>
      <c r="G28" s="188">
        <v>7</v>
      </c>
      <c r="H28" s="188">
        <v>11560</v>
      </c>
      <c r="I28" s="188">
        <v>77</v>
      </c>
      <c r="J28" s="188">
        <v>8</v>
      </c>
      <c r="K28" s="188">
        <v>4602</v>
      </c>
      <c r="L28" s="188">
        <v>23331</v>
      </c>
      <c r="M28" s="188">
        <v>27933</v>
      </c>
      <c r="N28" s="188">
        <v>40</v>
      </c>
      <c r="O28" s="188">
        <v>15</v>
      </c>
      <c r="P28" s="188">
        <v>181</v>
      </c>
      <c r="Q28" s="188">
        <v>67</v>
      </c>
      <c r="R28" s="188">
        <v>221</v>
      </c>
      <c r="S28" s="188">
        <v>82</v>
      </c>
      <c r="T28" s="188">
        <v>1</v>
      </c>
      <c r="U28" s="188">
        <v>12</v>
      </c>
      <c r="V28" s="188">
        <v>13</v>
      </c>
      <c r="W28" s="189" t="s">
        <v>125</v>
      </c>
      <c r="X28" s="189" t="s">
        <v>125</v>
      </c>
      <c r="Y28" s="189" t="s">
        <v>125</v>
      </c>
      <c r="Z28" s="188">
        <v>8823</v>
      </c>
      <c r="AA28" s="188">
        <v>8823</v>
      </c>
      <c r="AB28" s="188">
        <v>0</v>
      </c>
      <c r="AC28" s="188">
        <v>3701227</v>
      </c>
      <c r="AD28" s="188">
        <v>8755</v>
      </c>
      <c r="AE28" s="190">
        <v>3709982</v>
      </c>
      <c r="AY28" s="192"/>
      <c r="AZ28" s="192"/>
    </row>
    <row r="29" spans="1:52" s="191" customFormat="1" ht="15" customHeight="1">
      <c r="A29" s="187" t="s">
        <v>145</v>
      </c>
      <c r="B29" s="188">
        <v>525</v>
      </c>
      <c r="C29" s="188">
        <v>35</v>
      </c>
      <c r="D29" s="188">
        <v>2</v>
      </c>
      <c r="E29" s="188">
        <v>5116</v>
      </c>
      <c r="F29" s="188">
        <v>233</v>
      </c>
      <c r="G29" s="188">
        <v>69</v>
      </c>
      <c r="H29" s="188">
        <v>5641</v>
      </c>
      <c r="I29" s="188">
        <v>268</v>
      </c>
      <c r="J29" s="188">
        <v>71</v>
      </c>
      <c r="K29" s="188">
        <v>1150</v>
      </c>
      <c r="L29" s="188">
        <v>7741</v>
      </c>
      <c r="M29" s="188">
        <v>8891</v>
      </c>
      <c r="N29" s="188">
        <v>74</v>
      </c>
      <c r="O29" s="188">
        <v>40</v>
      </c>
      <c r="P29" s="188">
        <v>472</v>
      </c>
      <c r="Q29" s="188">
        <v>283</v>
      </c>
      <c r="R29" s="188">
        <v>546</v>
      </c>
      <c r="S29" s="188">
        <v>323</v>
      </c>
      <c r="T29" s="188">
        <v>2</v>
      </c>
      <c r="U29" s="188">
        <v>83</v>
      </c>
      <c r="V29" s="188">
        <v>85</v>
      </c>
      <c r="W29" s="189" t="s">
        <v>125</v>
      </c>
      <c r="X29" s="189" t="s">
        <v>125</v>
      </c>
      <c r="Y29" s="189" t="s">
        <v>125</v>
      </c>
      <c r="Z29" s="188">
        <v>6228</v>
      </c>
      <c r="AA29" s="188">
        <v>6228</v>
      </c>
      <c r="AB29" s="188">
        <v>0</v>
      </c>
      <c r="AC29" s="188">
        <v>1339620</v>
      </c>
      <c r="AD29" s="188">
        <v>36096</v>
      </c>
      <c r="AE29" s="190">
        <v>1375716</v>
      </c>
      <c r="AY29" s="192"/>
      <c r="AZ29" s="192"/>
    </row>
    <row r="30" spans="1:52" s="191" customFormat="1" ht="15" customHeight="1">
      <c r="A30" s="187" t="s">
        <v>146</v>
      </c>
      <c r="B30" s="188">
        <v>79</v>
      </c>
      <c r="C30" s="188">
        <v>0</v>
      </c>
      <c r="D30" s="188">
        <v>0</v>
      </c>
      <c r="E30" s="188">
        <v>923</v>
      </c>
      <c r="F30" s="188">
        <v>3</v>
      </c>
      <c r="G30" s="188">
        <v>1</v>
      </c>
      <c r="H30" s="188">
        <v>1002</v>
      </c>
      <c r="I30" s="188">
        <v>3</v>
      </c>
      <c r="J30" s="188">
        <v>1</v>
      </c>
      <c r="K30" s="188">
        <v>209</v>
      </c>
      <c r="L30" s="188">
        <v>1576</v>
      </c>
      <c r="M30" s="188">
        <v>1785</v>
      </c>
      <c r="N30" s="188">
        <v>0</v>
      </c>
      <c r="O30" s="188">
        <v>0</v>
      </c>
      <c r="P30" s="188">
        <v>6</v>
      </c>
      <c r="Q30" s="188">
        <v>3</v>
      </c>
      <c r="R30" s="188">
        <v>6</v>
      </c>
      <c r="S30" s="188">
        <v>3</v>
      </c>
      <c r="T30" s="188">
        <v>0</v>
      </c>
      <c r="U30" s="188">
        <v>1</v>
      </c>
      <c r="V30" s="188">
        <v>1</v>
      </c>
      <c r="W30" s="189" t="s">
        <v>125</v>
      </c>
      <c r="X30" s="189" t="s">
        <v>125</v>
      </c>
      <c r="Y30" s="189" t="s">
        <v>125</v>
      </c>
      <c r="Z30" s="188">
        <v>1053</v>
      </c>
      <c r="AA30" s="188">
        <v>1053</v>
      </c>
      <c r="AB30" s="188">
        <v>0</v>
      </c>
      <c r="AC30" s="188">
        <v>240429</v>
      </c>
      <c r="AD30" s="188">
        <v>404</v>
      </c>
      <c r="AE30" s="190">
        <v>240833</v>
      </c>
      <c r="AY30" s="192"/>
      <c r="AZ30" s="192"/>
    </row>
    <row r="31" spans="1:52" s="191" customFormat="1" ht="15" customHeight="1">
      <c r="A31" s="187" t="s">
        <v>147</v>
      </c>
      <c r="B31" s="188">
        <v>515</v>
      </c>
      <c r="C31" s="188">
        <v>4</v>
      </c>
      <c r="D31" s="188">
        <v>0</v>
      </c>
      <c r="E31" s="188">
        <v>5694</v>
      </c>
      <c r="F31" s="188">
        <v>39</v>
      </c>
      <c r="G31" s="188">
        <v>12</v>
      </c>
      <c r="H31" s="188">
        <v>6209</v>
      </c>
      <c r="I31" s="188">
        <v>43</v>
      </c>
      <c r="J31" s="188">
        <v>12</v>
      </c>
      <c r="K31" s="188">
        <v>1293</v>
      </c>
      <c r="L31" s="188">
        <v>10344</v>
      </c>
      <c r="M31" s="188">
        <v>11637</v>
      </c>
      <c r="N31" s="188">
        <v>15</v>
      </c>
      <c r="O31" s="188">
        <v>5</v>
      </c>
      <c r="P31" s="188">
        <v>93</v>
      </c>
      <c r="Q31" s="188">
        <v>43</v>
      </c>
      <c r="R31" s="188">
        <v>108</v>
      </c>
      <c r="S31" s="188">
        <v>48</v>
      </c>
      <c r="T31" s="188">
        <v>0</v>
      </c>
      <c r="U31" s="188">
        <v>14</v>
      </c>
      <c r="V31" s="188">
        <v>14</v>
      </c>
      <c r="W31" s="189" t="s">
        <v>125</v>
      </c>
      <c r="X31" s="189" t="s">
        <v>125</v>
      </c>
      <c r="Y31" s="189" t="s">
        <v>125</v>
      </c>
      <c r="Z31" s="188">
        <v>6650</v>
      </c>
      <c r="AA31" s="188">
        <v>6650</v>
      </c>
      <c r="AB31" s="188">
        <v>0</v>
      </c>
      <c r="AC31" s="188">
        <v>1648981</v>
      </c>
      <c r="AD31" s="188">
        <v>6734</v>
      </c>
      <c r="AE31" s="190">
        <v>1655715</v>
      </c>
      <c r="AY31" s="192"/>
      <c r="AZ31" s="192"/>
    </row>
    <row r="32" spans="1:52" s="191" customFormat="1" ht="15" customHeight="1">
      <c r="A32" s="187" t="s">
        <v>148</v>
      </c>
      <c r="B32" s="188">
        <v>3532</v>
      </c>
      <c r="C32" s="188">
        <v>17</v>
      </c>
      <c r="D32" s="188">
        <v>1</v>
      </c>
      <c r="E32" s="188">
        <v>20099</v>
      </c>
      <c r="F32" s="188">
        <v>87</v>
      </c>
      <c r="G32" s="188">
        <v>16</v>
      </c>
      <c r="H32" s="188">
        <v>23631</v>
      </c>
      <c r="I32" s="188">
        <v>104</v>
      </c>
      <c r="J32" s="188">
        <v>17</v>
      </c>
      <c r="K32" s="188">
        <v>9527</v>
      </c>
      <c r="L32" s="188">
        <v>45062</v>
      </c>
      <c r="M32" s="188">
        <v>54589</v>
      </c>
      <c r="N32" s="188">
        <v>43</v>
      </c>
      <c r="O32" s="188">
        <v>18</v>
      </c>
      <c r="P32" s="188">
        <v>250</v>
      </c>
      <c r="Q32" s="188">
        <v>95</v>
      </c>
      <c r="R32" s="188">
        <v>293</v>
      </c>
      <c r="S32" s="188">
        <v>113</v>
      </c>
      <c r="T32" s="188">
        <v>1</v>
      </c>
      <c r="U32" s="188">
        <v>17</v>
      </c>
      <c r="V32" s="188">
        <v>18</v>
      </c>
      <c r="W32" s="189" t="s">
        <v>125</v>
      </c>
      <c r="X32" s="189" t="s">
        <v>125</v>
      </c>
      <c r="Y32" s="189" t="s">
        <v>125</v>
      </c>
      <c r="Z32" s="188">
        <v>24731</v>
      </c>
      <c r="AA32" s="188">
        <v>24731</v>
      </c>
      <c r="AB32" s="188">
        <v>0</v>
      </c>
      <c r="AC32" s="188">
        <v>7151223</v>
      </c>
      <c r="AD32" s="188">
        <v>11776</v>
      </c>
      <c r="AE32" s="190">
        <v>7162999</v>
      </c>
      <c r="AY32" s="192"/>
      <c r="AZ32" s="192"/>
    </row>
    <row r="33" spans="1:52" s="191" customFormat="1" ht="15" customHeight="1">
      <c r="A33" s="187" t="s">
        <v>149</v>
      </c>
      <c r="B33" s="188">
        <v>83</v>
      </c>
      <c r="C33" s="188">
        <v>1</v>
      </c>
      <c r="D33" s="188">
        <v>0</v>
      </c>
      <c r="E33" s="188">
        <v>462</v>
      </c>
      <c r="F33" s="188">
        <v>0</v>
      </c>
      <c r="G33" s="188">
        <v>1</v>
      </c>
      <c r="H33" s="188">
        <v>545</v>
      </c>
      <c r="I33" s="188">
        <v>1</v>
      </c>
      <c r="J33" s="188">
        <v>1</v>
      </c>
      <c r="K33" s="188">
        <v>218</v>
      </c>
      <c r="L33" s="188">
        <v>934</v>
      </c>
      <c r="M33" s="188">
        <v>1152</v>
      </c>
      <c r="N33" s="188">
        <v>1</v>
      </c>
      <c r="O33" s="188">
        <v>1</v>
      </c>
      <c r="P33" s="188">
        <v>0</v>
      </c>
      <c r="Q33" s="188">
        <v>0</v>
      </c>
      <c r="R33" s="188">
        <v>1</v>
      </c>
      <c r="S33" s="188">
        <v>1</v>
      </c>
      <c r="T33" s="188">
        <v>0</v>
      </c>
      <c r="U33" s="188">
        <v>2</v>
      </c>
      <c r="V33" s="188">
        <v>2</v>
      </c>
      <c r="W33" s="189" t="s">
        <v>125</v>
      </c>
      <c r="X33" s="189" t="s">
        <v>125</v>
      </c>
      <c r="Y33" s="189" t="s">
        <v>125</v>
      </c>
      <c r="Z33" s="188">
        <v>584</v>
      </c>
      <c r="AA33" s="188">
        <v>584</v>
      </c>
      <c r="AB33" s="188">
        <v>0</v>
      </c>
      <c r="AC33" s="188">
        <v>156169</v>
      </c>
      <c r="AD33" s="188">
        <v>493</v>
      </c>
      <c r="AE33" s="190">
        <v>156662</v>
      </c>
      <c r="AY33" s="192"/>
      <c r="AZ33" s="192"/>
    </row>
    <row r="34" spans="1:52" s="191" customFormat="1" ht="15" customHeight="1">
      <c r="A34" s="187" t="s">
        <v>150</v>
      </c>
      <c r="B34" s="188">
        <v>7</v>
      </c>
      <c r="C34" s="188">
        <v>0</v>
      </c>
      <c r="D34" s="188">
        <v>0</v>
      </c>
      <c r="E34" s="188">
        <v>390</v>
      </c>
      <c r="F34" s="188">
        <v>3</v>
      </c>
      <c r="G34" s="188">
        <v>0</v>
      </c>
      <c r="H34" s="188">
        <v>397</v>
      </c>
      <c r="I34" s="188">
        <v>3</v>
      </c>
      <c r="J34" s="188">
        <v>0</v>
      </c>
      <c r="K34" s="188">
        <v>17</v>
      </c>
      <c r="L34" s="188">
        <v>647</v>
      </c>
      <c r="M34" s="188">
        <v>664</v>
      </c>
      <c r="N34" s="188">
        <v>0</v>
      </c>
      <c r="O34" s="188">
        <v>0</v>
      </c>
      <c r="P34" s="188">
        <v>9</v>
      </c>
      <c r="Q34" s="188">
        <v>3</v>
      </c>
      <c r="R34" s="188">
        <v>9</v>
      </c>
      <c r="S34" s="188">
        <v>3</v>
      </c>
      <c r="T34" s="188">
        <v>0</v>
      </c>
      <c r="U34" s="188">
        <v>0</v>
      </c>
      <c r="V34" s="188">
        <v>0</v>
      </c>
      <c r="W34" s="189" t="s">
        <v>125</v>
      </c>
      <c r="X34" s="189" t="s">
        <v>125</v>
      </c>
      <c r="Y34" s="189" t="s">
        <v>125</v>
      </c>
      <c r="Z34" s="188">
        <v>443</v>
      </c>
      <c r="AA34" s="188">
        <v>443</v>
      </c>
      <c r="AB34" s="188">
        <v>0</v>
      </c>
      <c r="AC34" s="188">
        <v>95087</v>
      </c>
      <c r="AD34" s="188">
        <v>308</v>
      </c>
      <c r="AE34" s="190">
        <v>95395</v>
      </c>
      <c r="AY34" s="192"/>
      <c r="AZ34" s="192"/>
    </row>
    <row r="35" spans="1:52" s="191" customFormat="1" ht="15" customHeight="1">
      <c r="A35" s="187" t="s">
        <v>151</v>
      </c>
      <c r="B35" s="188">
        <v>2791</v>
      </c>
      <c r="C35" s="188">
        <v>24</v>
      </c>
      <c r="D35" s="188">
        <v>0</v>
      </c>
      <c r="E35" s="188">
        <v>19168</v>
      </c>
      <c r="F35" s="188">
        <v>209</v>
      </c>
      <c r="G35" s="188">
        <v>32</v>
      </c>
      <c r="H35" s="188">
        <v>21959</v>
      </c>
      <c r="I35" s="188">
        <v>233</v>
      </c>
      <c r="J35" s="188">
        <v>32</v>
      </c>
      <c r="K35" s="188">
        <v>7210</v>
      </c>
      <c r="L35" s="188">
        <v>41163</v>
      </c>
      <c r="M35" s="188">
        <v>48373</v>
      </c>
      <c r="N35" s="188">
        <v>65</v>
      </c>
      <c r="O35" s="188">
        <v>25</v>
      </c>
      <c r="P35" s="188">
        <v>574</v>
      </c>
      <c r="Q35" s="188">
        <v>236</v>
      </c>
      <c r="R35" s="188">
        <v>639</v>
      </c>
      <c r="S35" s="188">
        <v>261</v>
      </c>
      <c r="T35" s="188">
        <v>0</v>
      </c>
      <c r="U35" s="188">
        <v>47</v>
      </c>
      <c r="V35" s="188">
        <v>47</v>
      </c>
      <c r="W35" s="189" t="s">
        <v>125</v>
      </c>
      <c r="X35" s="189" t="s">
        <v>125</v>
      </c>
      <c r="Y35" s="189" t="s">
        <v>125</v>
      </c>
      <c r="Z35" s="188">
        <v>23330</v>
      </c>
      <c r="AA35" s="188">
        <v>23330</v>
      </c>
      <c r="AB35" s="188">
        <v>0</v>
      </c>
      <c r="AC35" s="188">
        <v>6521156</v>
      </c>
      <c r="AD35" s="188">
        <v>28886</v>
      </c>
      <c r="AE35" s="190">
        <v>6550042</v>
      </c>
      <c r="AY35" s="192"/>
      <c r="AZ35" s="192"/>
    </row>
    <row r="36" spans="1:52" s="191" customFormat="1" ht="15" customHeight="1">
      <c r="A36" s="187" t="s">
        <v>152</v>
      </c>
      <c r="B36" s="188">
        <v>292</v>
      </c>
      <c r="C36" s="188">
        <v>4</v>
      </c>
      <c r="D36" s="188">
        <v>0</v>
      </c>
      <c r="E36" s="188">
        <v>2920</v>
      </c>
      <c r="F36" s="188">
        <v>51</v>
      </c>
      <c r="G36" s="188">
        <v>7</v>
      </c>
      <c r="H36" s="188">
        <v>3212</v>
      </c>
      <c r="I36" s="188">
        <v>55</v>
      </c>
      <c r="J36" s="188">
        <v>7</v>
      </c>
      <c r="K36" s="188">
        <v>700</v>
      </c>
      <c r="L36" s="188">
        <v>5635</v>
      </c>
      <c r="M36" s="188">
        <v>6335</v>
      </c>
      <c r="N36" s="188">
        <v>11</v>
      </c>
      <c r="O36" s="188">
        <v>5</v>
      </c>
      <c r="P36" s="188">
        <v>118</v>
      </c>
      <c r="Q36" s="188">
        <v>58</v>
      </c>
      <c r="R36" s="188">
        <v>129</v>
      </c>
      <c r="S36" s="188">
        <v>63</v>
      </c>
      <c r="T36" s="188">
        <v>0</v>
      </c>
      <c r="U36" s="188">
        <v>8</v>
      </c>
      <c r="V36" s="188">
        <v>8</v>
      </c>
      <c r="W36" s="189" t="s">
        <v>125</v>
      </c>
      <c r="X36" s="189" t="s">
        <v>125</v>
      </c>
      <c r="Y36" s="189" t="s">
        <v>125</v>
      </c>
      <c r="Z36" s="188">
        <v>3458</v>
      </c>
      <c r="AA36" s="188">
        <v>3458</v>
      </c>
      <c r="AB36" s="188">
        <v>0</v>
      </c>
      <c r="AC36" s="188">
        <v>806107</v>
      </c>
      <c r="AD36" s="188">
        <v>4237</v>
      </c>
      <c r="AE36" s="190">
        <v>810344</v>
      </c>
      <c r="AY36" s="192"/>
      <c r="AZ36" s="192"/>
    </row>
    <row r="37" spans="1:52" s="191" customFormat="1" ht="15" customHeight="1">
      <c r="A37" s="187" t="s">
        <v>153</v>
      </c>
      <c r="B37" s="188">
        <v>259</v>
      </c>
      <c r="C37" s="188">
        <v>1</v>
      </c>
      <c r="D37" s="188">
        <v>0</v>
      </c>
      <c r="E37" s="188">
        <v>3884</v>
      </c>
      <c r="F37" s="188">
        <v>12</v>
      </c>
      <c r="G37" s="188">
        <v>1</v>
      </c>
      <c r="H37" s="188">
        <v>4143</v>
      </c>
      <c r="I37" s="188">
        <v>13</v>
      </c>
      <c r="J37" s="188">
        <v>1</v>
      </c>
      <c r="K37" s="188">
        <v>664</v>
      </c>
      <c r="L37" s="188">
        <v>6490</v>
      </c>
      <c r="M37" s="188">
        <v>7154</v>
      </c>
      <c r="N37" s="188">
        <v>2</v>
      </c>
      <c r="O37" s="188">
        <v>1</v>
      </c>
      <c r="P37" s="188">
        <v>27</v>
      </c>
      <c r="Q37" s="188">
        <v>13</v>
      </c>
      <c r="R37" s="188">
        <v>29</v>
      </c>
      <c r="S37" s="188">
        <v>14</v>
      </c>
      <c r="T37" s="188">
        <v>0</v>
      </c>
      <c r="U37" s="188">
        <v>1</v>
      </c>
      <c r="V37" s="188">
        <v>1</v>
      </c>
      <c r="W37" s="189" t="s">
        <v>125</v>
      </c>
      <c r="X37" s="189" t="s">
        <v>125</v>
      </c>
      <c r="Y37" s="189" t="s">
        <v>125</v>
      </c>
      <c r="Z37" s="188">
        <v>4383</v>
      </c>
      <c r="AA37" s="188">
        <v>4383</v>
      </c>
      <c r="AB37" s="188">
        <v>0</v>
      </c>
      <c r="AC37" s="188">
        <v>979016</v>
      </c>
      <c r="AD37" s="188">
        <v>1089</v>
      </c>
      <c r="AE37" s="190">
        <v>980105</v>
      </c>
      <c r="AY37" s="192"/>
      <c r="AZ37" s="192"/>
    </row>
    <row r="38" spans="1:52" s="191" customFormat="1" ht="15" customHeight="1">
      <c r="A38" s="187" t="s">
        <v>154</v>
      </c>
      <c r="B38" s="188">
        <v>9616</v>
      </c>
      <c r="C38" s="188">
        <v>220</v>
      </c>
      <c r="D38" s="188">
        <v>3</v>
      </c>
      <c r="E38" s="188">
        <v>103348</v>
      </c>
      <c r="F38" s="188">
        <v>2040</v>
      </c>
      <c r="G38" s="188">
        <v>1089</v>
      </c>
      <c r="H38" s="188">
        <v>112964</v>
      </c>
      <c r="I38" s="188">
        <v>2260</v>
      </c>
      <c r="J38" s="188">
        <v>1092</v>
      </c>
      <c r="K38" s="188">
        <v>24776</v>
      </c>
      <c r="L38" s="188">
        <v>201799</v>
      </c>
      <c r="M38" s="188">
        <v>226575</v>
      </c>
      <c r="N38" s="188">
        <v>480</v>
      </c>
      <c r="O38" s="188">
        <v>314</v>
      </c>
      <c r="P38" s="188">
        <v>4321</v>
      </c>
      <c r="Q38" s="188">
        <v>2565</v>
      </c>
      <c r="R38" s="188">
        <v>4801</v>
      </c>
      <c r="S38" s="188">
        <v>2879</v>
      </c>
      <c r="T38" s="188">
        <v>5</v>
      </c>
      <c r="U38" s="188">
        <v>1454</v>
      </c>
      <c r="V38" s="188">
        <v>1459</v>
      </c>
      <c r="W38" s="189" t="s">
        <v>125</v>
      </c>
      <c r="X38" s="189" t="s">
        <v>125</v>
      </c>
      <c r="Y38" s="189" t="s">
        <v>125</v>
      </c>
      <c r="Z38" s="188">
        <v>121095</v>
      </c>
      <c r="AA38" s="188">
        <v>121095</v>
      </c>
      <c r="AB38" s="188">
        <v>0</v>
      </c>
      <c r="AC38" s="188">
        <v>31057867</v>
      </c>
      <c r="AD38" s="188">
        <v>498592</v>
      </c>
      <c r="AE38" s="190">
        <v>31556459</v>
      </c>
      <c r="AY38" s="192"/>
      <c r="AZ38" s="192"/>
    </row>
    <row r="39" spans="1:52" s="191" customFormat="1" ht="15" customHeight="1">
      <c r="A39" s="187" t="s">
        <v>155</v>
      </c>
      <c r="B39" s="188">
        <v>653</v>
      </c>
      <c r="C39" s="188">
        <v>10</v>
      </c>
      <c r="D39" s="188">
        <v>2</v>
      </c>
      <c r="E39" s="188">
        <v>7981</v>
      </c>
      <c r="F39" s="188">
        <v>37</v>
      </c>
      <c r="G39" s="188">
        <v>36</v>
      </c>
      <c r="H39" s="188">
        <v>8634</v>
      </c>
      <c r="I39" s="188">
        <v>47</v>
      </c>
      <c r="J39" s="188">
        <v>38</v>
      </c>
      <c r="K39" s="188">
        <v>1659</v>
      </c>
      <c r="L39" s="188">
        <v>14305</v>
      </c>
      <c r="M39" s="188">
        <v>15964</v>
      </c>
      <c r="N39" s="188">
        <v>19</v>
      </c>
      <c r="O39" s="188">
        <v>16</v>
      </c>
      <c r="P39" s="188">
        <v>74</v>
      </c>
      <c r="Q39" s="188">
        <v>39</v>
      </c>
      <c r="R39" s="188">
        <v>93</v>
      </c>
      <c r="S39" s="188">
        <v>55</v>
      </c>
      <c r="T39" s="188">
        <v>7</v>
      </c>
      <c r="U39" s="188">
        <v>52</v>
      </c>
      <c r="V39" s="188">
        <v>59</v>
      </c>
      <c r="W39" s="189" t="s">
        <v>125</v>
      </c>
      <c r="X39" s="189" t="s">
        <v>125</v>
      </c>
      <c r="Y39" s="189" t="s">
        <v>125</v>
      </c>
      <c r="Z39" s="188">
        <v>9155</v>
      </c>
      <c r="AA39" s="188">
        <v>9155</v>
      </c>
      <c r="AB39" s="188">
        <v>0</v>
      </c>
      <c r="AC39" s="188">
        <v>2053113</v>
      </c>
      <c r="AD39" s="188">
        <v>8904</v>
      </c>
      <c r="AE39" s="190">
        <v>2062017</v>
      </c>
      <c r="AY39" s="192"/>
      <c r="AZ39" s="192"/>
    </row>
    <row r="40" spans="1:52" s="191" customFormat="1" ht="15" customHeight="1">
      <c r="A40" s="187" t="s">
        <v>156</v>
      </c>
      <c r="B40" s="188">
        <v>86</v>
      </c>
      <c r="C40" s="188">
        <v>0</v>
      </c>
      <c r="D40" s="188">
        <v>0</v>
      </c>
      <c r="E40" s="188">
        <v>1081</v>
      </c>
      <c r="F40" s="188">
        <v>1</v>
      </c>
      <c r="G40" s="188">
        <v>0</v>
      </c>
      <c r="H40" s="188">
        <v>1167</v>
      </c>
      <c r="I40" s="188">
        <v>1</v>
      </c>
      <c r="J40" s="188">
        <v>0</v>
      </c>
      <c r="K40" s="188">
        <v>214</v>
      </c>
      <c r="L40" s="188">
        <v>1969</v>
      </c>
      <c r="M40" s="188">
        <v>2183</v>
      </c>
      <c r="N40" s="188">
        <v>0</v>
      </c>
      <c r="O40" s="188">
        <v>0</v>
      </c>
      <c r="P40" s="188">
        <v>1</v>
      </c>
      <c r="Q40" s="188">
        <v>0</v>
      </c>
      <c r="R40" s="188">
        <v>1</v>
      </c>
      <c r="S40" s="188">
        <v>0</v>
      </c>
      <c r="T40" s="188">
        <v>0</v>
      </c>
      <c r="U40" s="188">
        <v>0</v>
      </c>
      <c r="V40" s="188">
        <v>0</v>
      </c>
      <c r="W40" s="189" t="s">
        <v>125</v>
      </c>
      <c r="X40" s="189" t="s">
        <v>125</v>
      </c>
      <c r="Y40" s="189" t="s">
        <v>125</v>
      </c>
      <c r="Z40" s="188">
        <v>1215</v>
      </c>
      <c r="AA40" s="188">
        <v>1215</v>
      </c>
      <c r="AB40" s="188">
        <v>0</v>
      </c>
      <c r="AC40" s="188">
        <v>286841</v>
      </c>
      <c r="AD40" s="188">
        <v>138</v>
      </c>
      <c r="AE40" s="190">
        <v>286979</v>
      </c>
      <c r="AY40" s="192"/>
      <c r="AZ40" s="192"/>
    </row>
    <row r="41" spans="1:52" s="191" customFormat="1" ht="15" customHeight="1">
      <c r="A41" s="187" t="s">
        <v>157</v>
      </c>
      <c r="B41" s="188">
        <v>14222</v>
      </c>
      <c r="C41" s="188">
        <v>94</v>
      </c>
      <c r="D41" s="188">
        <v>8</v>
      </c>
      <c r="E41" s="188">
        <v>106991</v>
      </c>
      <c r="F41" s="188">
        <v>758</v>
      </c>
      <c r="G41" s="188">
        <v>169</v>
      </c>
      <c r="H41" s="188">
        <v>121213</v>
      </c>
      <c r="I41" s="188">
        <v>852</v>
      </c>
      <c r="J41" s="188">
        <v>177</v>
      </c>
      <c r="K41" s="188">
        <v>38411</v>
      </c>
      <c r="L41" s="188">
        <v>227921</v>
      </c>
      <c r="M41" s="188">
        <v>266332</v>
      </c>
      <c r="N41" s="188">
        <v>255</v>
      </c>
      <c r="O41" s="188">
        <v>116</v>
      </c>
      <c r="P41" s="188">
        <v>2102</v>
      </c>
      <c r="Q41" s="188">
        <v>867</v>
      </c>
      <c r="R41" s="188">
        <v>2357</v>
      </c>
      <c r="S41" s="188">
        <v>983</v>
      </c>
      <c r="T41" s="188">
        <v>12</v>
      </c>
      <c r="U41" s="188">
        <v>218</v>
      </c>
      <c r="V41" s="188">
        <v>230</v>
      </c>
      <c r="W41" s="189" t="s">
        <v>125</v>
      </c>
      <c r="X41" s="189" t="s">
        <v>125</v>
      </c>
      <c r="Y41" s="189" t="s">
        <v>125</v>
      </c>
      <c r="Z41" s="188">
        <v>127824</v>
      </c>
      <c r="AA41" s="188">
        <v>127824</v>
      </c>
      <c r="AB41" s="188">
        <v>0</v>
      </c>
      <c r="AC41" s="188">
        <v>35505510</v>
      </c>
      <c r="AD41" s="188">
        <v>117230</v>
      </c>
      <c r="AE41" s="190">
        <v>35622740</v>
      </c>
      <c r="AY41" s="192"/>
      <c r="AZ41" s="192"/>
    </row>
    <row r="42" spans="1:52" s="191" customFormat="1" ht="15" customHeight="1">
      <c r="A42" s="187" t="s">
        <v>158</v>
      </c>
      <c r="B42" s="188">
        <v>13749</v>
      </c>
      <c r="C42" s="188">
        <v>580</v>
      </c>
      <c r="D42" s="188">
        <v>6</v>
      </c>
      <c r="E42" s="188">
        <v>82714</v>
      </c>
      <c r="F42" s="188">
        <v>1161</v>
      </c>
      <c r="G42" s="188">
        <v>567</v>
      </c>
      <c r="H42" s="188">
        <v>96463</v>
      </c>
      <c r="I42" s="188">
        <v>1741</v>
      </c>
      <c r="J42" s="188">
        <v>573</v>
      </c>
      <c r="K42" s="188">
        <v>36115</v>
      </c>
      <c r="L42" s="188">
        <v>162869</v>
      </c>
      <c r="M42" s="188">
        <v>198984</v>
      </c>
      <c r="N42" s="188">
        <v>1402</v>
      </c>
      <c r="O42" s="188">
        <v>959</v>
      </c>
      <c r="P42" s="188">
        <v>2725</v>
      </c>
      <c r="Q42" s="188">
        <v>1708</v>
      </c>
      <c r="R42" s="188">
        <v>4127</v>
      </c>
      <c r="S42" s="188">
        <v>2667</v>
      </c>
      <c r="T42" s="188">
        <v>9</v>
      </c>
      <c r="U42" s="188">
        <v>745</v>
      </c>
      <c r="V42" s="188">
        <v>754</v>
      </c>
      <c r="W42" s="189" t="s">
        <v>125</v>
      </c>
      <c r="X42" s="189" t="s">
        <v>125</v>
      </c>
      <c r="Y42" s="189" t="s">
        <v>125</v>
      </c>
      <c r="Z42" s="188">
        <v>113240</v>
      </c>
      <c r="AA42" s="188">
        <v>113240</v>
      </c>
      <c r="AB42" s="188">
        <v>0</v>
      </c>
      <c r="AC42" s="188">
        <v>28694414</v>
      </c>
      <c r="AD42" s="188">
        <v>396510</v>
      </c>
      <c r="AE42" s="190">
        <v>29090924</v>
      </c>
      <c r="AY42" s="192"/>
      <c r="AZ42" s="192"/>
    </row>
    <row r="43" spans="1:52" s="191" customFormat="1" ht="15" customHeight="1">
      <c r="A43" s="187" t="s">
        <v>159</v>
      </c>
      <c r="B43" s="188">
        <v>240</v>
      </c>
      <c r="C43" s="188">
        <v>1</v>
      </c>
      <c r="D43" s="188">
        <v>0</v>
      </c>
      <c r="E43" s="188">
        <v>2028</v>
      </c>
      <c r="F43" s="188">
        <v>19</v>
      </c>
      <c r="G43" s="188">
        <v>1</v>
      </c>
      <c r="H43" s="188">
        <v>2268</v>
      </c>
      <c r="I43" s="188">
        <v>20</v>
      </c>
      <c r="J43" s="188">
        <v>1</v>
      </c>
      <c r="K43" s="188">
        <v>635</v>
      </c>
      <c r="L43" s="188">
        <v>4394</v>
      </c>
      <c r="M43" s="188">
        <v>5029</v>
      </c>
      <c r="N43" s="188">
        <v>5</v>
      </c>
      <c r="O43" s="188">
        <v>1</v>
      </c>
      <c r="P43" s="188">
        <v>55</v>
      </c>
      <c r="Q43" s="188">
        <v>22</v>
      </c>
      <c r="R43" s="188">
        <v>60</v>
      </c>
      <c r="S43" s="188">
        <v>23</v>
      </c>
      <c r="T43" s="188">
        <v>0</v>
      </c>
      <c r="U43" s="188">
        <v>1</v>
      </c>
      <c r="V43" s="188">
        <v>1</v>
      </c>
      <c r="W43" s="189" t="s">
        <v>125</v>
      </c>
      <c r="X43" s="189" t="s">
        <v>125</v>
      </c>
      <c r="Y43" s="189" t="s">
        <v>125</v>
      </c>
      <c r="Z43" s="188">
        <v>2405</v>
      </c>
      <c r="AA43" s="188">
        <v>2405</v>
      </c>
      <c r="AB43" s="188">
        <v>0</v>
      </c>
      <c r="AC43" s="188">
        <v>661571</v>
      </c>
      <c r="AD43" s="188">
        <v>1692</v>
      </c>
      <c r="AE43" s="190">
        <v>663263</v>
      </c>
      <c r="AY43" s="192"/>
      <c r="AZ43" s="192"/>
    </row>
    <row r="44" spans="1:52" s="191" customFormat="1" ht="15" customHeight="1">
      <c r="A44" s="187" t="s">
        <v>160</v>
      </c>
      <c r="B44" s="188">
        <v>22923</v>
      </c>
      <c r="C44" s="188">
        <v>136</v>
      </c>
      <c r="D44" s="188">
        <v>8</v>
      </c>
      <c r="E44" s="188">
        <v>142349</v>
      </c>
      <c r="F44" s="188">
        <v>901</v>
      </c>
      <c r="G44" s="188">
        <v>327</v>
      </c>
      <c r="H44" s="188">
        <v>165272</v>
      </c>
      <c r="I44" s="188">
        <v>1037</v>
      </c>
      <c r="J44" s="188">
        <v>335</v>
      </c>
      <c r="K44" s="188">
        <v>60337</v>
      </c>
      <c r="L44" s="188">
        <v>298362</v>
      </c>
      <c r="M44" s="188">
        <v>358699</v>
      </c>
      <c r="N44" s="188">
        <v>338</v>
      </c>
      <c r="O44" s="188">
        <v>156</v>
      </c>
      <c r="P44" s="188">
        <v>2336</v>
      </c>
      <c r="Q44" s="188">
        <v>1045</v>
      </c>
      <c r="R44" s="188">
        <v>2674</v>
      </c>
      <c r="S44" s="188">
        <v>1201</v>
      </c>
      <c r="T44" s="188">
        <v>10</v>
      </c>
      <c r="U44" s="188">
        <v>451</v>
      </c>
      <c r="V44" s="188">
        <v>461</v>
      </c>
      <c r="W44" s="189" t="s">
        <v>125</v>
      </c>
      <c r="X44" s="189" t="s">
        <v>125</v>
      </c>
      <c r="Y44" s="189" t="s">
        <v>125</v>
      </c>
      <c r="Z44" s="188">
        <v>175684</v>
      </c>
      <c r="AA44" s="188">
        <v>175684</v>
      </c>
      <c r="AB44" s="188">
        <v>0</v>
      </c>
      <c r="AC44" s="188">
        <v>48853950</v>
      </c>
      <c r="AD44" s="188">
        <v>178544</v>
      </c>
      <c r="AE44" s="190">
        <v>49032494</v>
      </c>
      <c r="AY44" s="192"/>
      <c r="AZ44" s="192"/>
    </row>
    <row r="45" spans="1:52" s="191" customFormat="1" ht="15" customHeight="1">
      <c r="A45" s="187" t="s">
        <v>161</v>
      </c>
      <c r="B45" s="188">
        <v>11896</v>
      </c>
      <c r="C45" s="188">
        <v>308</v>
      </c>
      <c r="D45" s="188">
        <v>11</v>
      </c>
      <c r="E45" s="188">
        <v>118935</v>
      </c>
      <c r="F45" s="188">
        <v>1682</v>
      </c>
      <c r="G45" s="188">
        <v>730</v>
      </c>
      <c r="H45" s="188">
        <v>130831</v>
      </c>
      <c r="I45" s="188">
        <v>1990</v>
      </c>
      <c r="J45" s="188">
        <v>741</v>
      </c>
      <c r="K45" s="188">
        <v>32787</v>
      </c>
      <c r="L45" s="188">
        <v>227661</v>
      </c>
      <c r="M45" s="188">
        <v>260448</v>
      </c>
      <c r="N45" s="188">
        <v>679</v>
      </c>
      <c r="O45" s="188">
        <v>405</v>
      </c>
      <c r="P45" s="188">
        <v>3987</v>
      </c>
      <c r="Q45" s="188">
        <v>1962</v>
      </c>
      <c r="R45" s="188">
        <v>4666</v>
      </c>
      <c r="S45" s="188">
        <v>2367</v>
      </c>
      <c r="T45" s="188">
        <v>15</v>
      </c>
      <c r="U45" s="188">
        <v>932</v>
      </c>
      <c r="V45" s="188">
        <v>947</v>
      </c>
      <c r="W45" s="189" t="s">
        <v>125</v>
      </c>
      <c r="X45" s="189" t="s">
        <v>125</v>
      </c>
      <c r="Y45" s="189" t="s">
        <v>125</v>
      </c>
      <c r="Z45" s="188">
        <v>155532</v>
      </c>
      <c r="AA45" s="188">
        <v>155532</v>
      </c>
      <c r="AB45" s="188">
        <v>0</v>
      </c>
      <c r="AC45" s="188">
        <v>35206863</v>
      </c>
      <c r="AD45" s="188">
        <v>362115</v>
      </c>
      <c r="AE45" s="190">
        <v>35568978</v>
      </c>
      <c r="AY45" s="192"/>
      <c r="AZ45" s="192"/>
    </row>
    <row r="46" spans="1:52" s="191" customFormat="1" ht="15" customHeight="1">
      <c r="A46" s="187" t="s">
        <v>162</v>
      </c>
      <c r="B46" s="188">
        <v>1924</v>
      </c>
      <c r="C46" s="188">
        <v>107</v>
      </c>
      <c r="D46" s="188">
        <v>6</v>
      </c>
      <c r="E46" s="188">
        <v>30232</v>
      </c>
      <c r="F46" s="188">
        <v>729</v>
      </c>
      <c r="G46" s="188">
        <v>1071</v>
      </c>
      <c r="H46" s="188">
        <v>32156</v>
      </c>
      <c r="I46" s="188">
        <v>836</v>
      </c>
      <c r="J46" s="188">
        <v>1077</v>
      </c>
      <c r="K46" s="188">
        <v>4104</v>
      </c>
      <c r="L46" s="188">
        <v>43099</v>
      </c>
      <c r="M46" s="188">
        <v>47203</v>
      </c>
      <c r="N46" s="188">
        <v>201</v>
      </c>
      <c r="O46" s="188">
        <v>126</v>
      </c>
      <c r="P46" s="188">
        <v>1332</v>
      </c>
      <c r="Q46" s="188">
        <v>909</v>
      </c>
      <c r="R46" s="188">
        <v>1533</v>
      </c>
      <c r="S46" s="188">
        <v>1035</v>
      </c>
      <c r="T46" s="188">
        <v>13</v>
      </c>
      <c r="U46" s="188">
        <v>1123</v>
      </c>
      <c r="V46" s="188">
        <v>1136</v>
      </c>
      <c r="W46" s="189" t="s">
        <v>125</v>
      </c>
      <c r="X46" s="189" t="s">
        <v>125</v>
      </c>
      <c r="Y46" s="189" t="s">
        <v>125</v>
      </c>
      <c r="Z46" s="188">
        <v>36786</v>
      </c>
      <c r="AA46" s="188">
        <v>36786</v>
      </c>
      <c r="AB46" s="188">
        <v>0</v>
      </c>
      <c r="AC46" s="188">
        <v>6983769</v>
      </c>
      <c r="AD46" s="188">
        <v>275104</v>
      </c>
      <c r="AE46" s="190">
        <v>7258873</v>
      </c>
      <c r="AY46" s="192"/>
      <c r="AZ46" s="192"/>
    </row>
    <row r="47" spans="1:52" s="191" customFormat="1" ht="15" customHeight="1">
      <c r="A47" s="187" t="s">
        <v>163</v>
      </c>
      <c r="B47" s="188">
        <v>6575</v>
      </c>
      <c r="C47" s="188">
        <v>55</v>
      </c>
      <c r="D47" s="188">
        <v>1</v>
      </c>
      <c r="E47" s="188">
        <v>41570</v>
      </c>
      <c r="F47" s="188">
        <v>422</v>
      </c>
      <c r="G47" s="188">
        <v>159</v>
      </c>
      <c r="H47" s="188">
        <v>48145</v>
      </c>
      <c r="I47" s="188">
        <v>477</v>
      </c>
      <c r="J47" s="188">
        <v>160</v>
      </c>
      <c r="K47" s="188">
        <v>16140</v>
      </c>
      <c r="L47" s="188">
        <v>90053</v>
      </c>
      <c r="M47" s="188">
        <v>106193</v>
      </c>
      <c r="N47" s="188">
        <v>135</v>
      </c>
      <c r="O47" s="188">
        <v>65</v>
      </c>
      <c r="P47" s="188">
        <v>1198</v>
      </c>
      <c r="Q47" s="188">
        <v>527</v>
      </c>
      <c r="R47" s="188">
        <v>1333</v>
      </c>
      <c r="S47" s="188">
        <v>592</v>
      </c>
      <c r="T47" s="188">
        <v>1</v>
      </c>
      <c r="U47" s="188">
        <v>228</v>
      </c>
      <c r="V47" s="188">
        <v>229</v>
      </c>
      <c r="W47" s="189" t="s">
        <v>125</v>
      </c>
      <c r="X47" s="189" t="s">
        <v>125</v>
      </c>
      <c r="Y47" s="189" t="s">
        <v>125</v>
      </c>
      <c r="Z47" s="188">
        <v>50886</v>
      </c>
      <c r="AA47" s="188">
        <v>50886</v>
      </c>
      <c r="AB47" s="188">
        <v>0</v>
      </c>
      <c r="AC47" s="188">
        <v>14197870</v>
      </c>
      <c r="AD47" s="188">
        <v>94159</v>
      </c>
      <c r="AE47" s="190">
        <v>14292029</v>
      </c>
      <c r="AY47" s="192"/>
      <c r="AZ47" s="192"/>
    </row>
    <row r="48" spans="1:52" s="191" customFormat="1" ht="15" customHeight="1">
      <c r="A48" s="187" t="s">
        <v>164</v>
      </c>
      <c r="B48" s="188">
        <v>847</v>
      </c>
      <c r="C48" s="188">
        <v>5</v>
      </c>
      <c r="D48" s="188">
        <v>0</v>
      </c>
      <c r="E48" s="188">
        <v>8781</v>
      </c>
      <c r="F48" s="188">
        <v>30</v>
      </c>
      <c r="G48" s="188">
        <v>8</v>
      </c>
      <c r="H48" s="188">
        <v>9628</v>
      </c>
      <c r="I48" s="188">
        <v>35</v>
      </c>
      <c r="J48" s="188">
        <v>8</v>
      </c>
      <c r="K48" s="188">
        <v>2100</v>
      </c>
      <c r="L48" s="188">
        <v>14968</v>
      </c>
      <c r="M48" s="188">
        <v>17068</v>
      </c>
      <c r="N48" s="188">
        <v>16</v>
      </c>
      <c r="O48" s="188">
        <v>6</v>
      </c>
      <c r="P48" s="188">
        <v>82</v>
      </c>
      <c r="Q48" s="188">
        <v>34</v>
      </c>
      <c r="R48" s="188">
        <v>98</v>
      </c>
      <c r="S48" s="188">
        <v>40</v>
      </c>
      <c r="T48" s="188">
        <v>0</v>
      </c>
      <c r="U48" s="188">
        <v>10</v>
      </c>
      <c r="V48" s="188">
        <v>10</v>
      </c>
      <c r="W48" s="189" t="s">
        <v>125</v>
      </c>
      <c r="X48" s="189" t="s">
        <v>125</v>
      </c>
      <c r="Y48" s="189" t="s">
        <v>125</v>
      </c>
      <c r="Z48" s="188">
        <v>10091</v>
      </c>
      <c r="AA48" s="188">
        <v>10091</v>
      </c>
      <c r="AB48" s="188">
        <v>0</v>
      </c>
      <c r="AC48" s="188">
        <v>2299223</v>
      </c>
      <c r="AD48" s="188">
        <v>4215</v>
      </c>
      <c r="AE48" s="190">
        <v>2303438</v>
      </c>
      <c r="AY48" s="192"/>
      <c r="AZ48" s="192"/>
    </row>
    <row r="49" spans="1:52" s="191" customFormat="1" ht="15" customHeight="1">
      <c r="A49" s="187" t="s">
        <v>165</v>
      </c>
      <c r="B49" s="188">
        <v>699</v>
      </c>
      <c r="C49" s="188">
        <v>16</v>
      </c>
      <c r="D49" s="188">
        <v>0</v>
      </c>
      <c r="E49" s="188">
        <v>12457</v>
      </c>
      <c r="F49" s="188">
        <v>402</v>
      </c>
      <c r="G49" s="188">
        <v>140</v>
      </c>
      <c r="H49" s="188">
        <v>13156</v>
      </c>
      <c r="I49" s="188">
        <v>418</v>
      </c>
      <c r="J49" s="188">
        <v>140</v>
      </c>
      <c r="K49" s="188">
        <v>1660</v>
      </c>
      <c r="L49" s="188">
        <v>23028</v>
      </c>
      <c r="M49" s="188">
        <v>24688</v>
      </c>
      <c r="N49" s="188">
        <v>37</v>
      </c>
      <c r="O49" s="188">
        <v>17</v>
      </c>
      <c r="P49" s="188">
        <v>971</v>
      </c>
      <c r="Q49" s="188">
        <v>484</v>
      </c>
      <c r="R49" s="188">
        <v>1008</v>
      </c>
      <c r="S49" s="188">
        <v>501</v>
      </c>
      <c r="T49" s="188">
        <v>0</v>
      </c>
      <c r="U49" s="188">
        <v>185</v>
      </c>
      <c r="V49" s="188">
        <v>185</v>
      </c>
      <c r="W49" s="189" t="s">
        <v>125</v>
      </c>
      <c r="X49" s="189" t="s">
        <v>125</v>
      </c>
      <c r="Y49" s="189" t="s">
        <v>125</v>
      </c>
      <c r="Z49" s="188">
        <v>15597</v>
      </c>
      <c r="AA49" s="188">
        <v>15597</v>
      </c>
      <c r="AB49" s="188">
        <v>0</v>
      </c>
      <c r="AC49" s="188">
        <v>3339456</v>
      </c>
      <c r="AD49" s="188">
        <v>60252</v>
      </c>
      <c r="AE49" s="190">
        <v>3399708</v>
      </c>
      <c r="AY49" s="192"/>
      <c r="AZ49" s="192"/>
    </row>
    <row r="50" spans="1:52" s="191" customFormat="1" ht="15" customHeight="1">
      <c r="A50" s="187" t="s">
        <v>166</v>
      </c>
      <c r="B50" s="188">
        <v>2197</v>
      </c>
      <c r="C50" s="188">
        <v>16</v>
      </c>
      <c r="D50" s="188">
        <v>0</v>
      </c>
      <c r="E50" s="188">
        <v>16498</v>
      </c>
      <c r="F50" s="188">
        <v>136</v>
      </c>
      <c r="G50" s="188">
        <v>58</v>
      </c>
      <c r="H50" s="188">
        <v>18695</v>
      </c>
      <c r="I50" s="188">
        <v>152</v>
      </c>
      <c r="J50" s="188">
        <v>58</v>
      </c>
      <c r="K50" s="188">
        <v>5724</v>
      </c>
      <c r="L50" s="188">
        <v>32423</v>
      </c>
      <c r="M50" s="188">
        <v>38147</v>
      </c>
      <c r="N50" s="188">
        <v>42</v>
      </c>
      <c r="O50" s="188">
        <v>18</v>
      </c>
      <c r="P50" s="188">
        <v>374</v>
      </c>
      <c r="Q50" s="188">
        <v>151</v>
      </c>
      <c r="R50" s="188">
        <v>416</v>
      </c>
      <c r="S50" s="188">
        <v>169</v>
      </c>
      <c r="T50" s="188">
        <v>0</v>
      </c>
      <c r="U50" s="188">
        <v>68</v>
      </c>
      <c r="V50" s="188">
        <v>68</v>
      </c>
      <c r="W50" s="189" t="s">
        <v>125</v>
      </c>
      <c r="X50" s="189" t="s">
        <v>125</v>
      </c>
      <c r="Y50" s="189" t="s">
        <v>125</v>
      </c>
      <c r="Z50" s="188">
        <v>21882</v>
      </c>
      <c r="AA50" s="188">
        <v>21882</v>
      </c>
      <c r="AB50" s="188">
        <v>0</v>
      </c>
      <c r="AC50" s="188">
        <v>5257610</v>
      </c>
      <c r="AD50" s="188">
        <v>25196</v>
      </c>
      <c r="AE50" s="190">
        <v>5282806</v>
      </c>
      <c r="AY50" s="192"/>
      <c r="AZ50" s="192"/>
    </row>
    <row r="51" spans="1:52" s="191" customFormat="1" ht="15" customHeight="1">
      <c r="A51" s="187" t="s">
        <v>167</v>
      </c>
      <c r="B51" s="188">
        <v>3859</v>
      </c>
      <c r="C51" s="188">
        <v>90</v>
      </c>
      <c r="D51" s="188">
        <v>2</v>
      </c>
      <c r="E51" s="188">
        <v>42239</v>
      </c>
      <c r="F51" s="188">
        <v>801</v>
      </c>
      <c r="G51" s="188">
        <v>578</v>
      </c>
      <c r="H51" s="188">
        <v>46098</v>
      </c>
      <c r="I51" s="188">
        <v>891</v>
      </c>
      <c r="J51" s="188">
        <v>580</v>
      </c>
      <c r="K51" s="188">
        <v>9374</v>
      </c>
      <c r="L51" s="188">
        <v>79466</v>
      </c>
      <c r="M51" s="188">
        <v>88840</v>
      </c>
      <c r="N51" s="188">
        <v>202</v>
      </c>
      <c r="O51" s="188">
        <v>110</v>
      </c>
      <c r="P51" s="188">
        <v>1740</v>
      </c>
      <c r="Q51" s="188">
        <v>1019</v>
      </c>
      <c r="R51" s="188">
        <v>1942</v>
      </c>
      <c r="S51" s="188">
        <v>1129</v>
      </c>
      <c r="T51" s="188">
        <v>2</v>
      </c>
      <c r="U51" s="188">
        <v>820</v>
      </c>
      <c r="V51" s="188">
        <v>822</v>
      </c>
      <c r="W51" s="189" t="s">
        <v>125</v>
      </c>
      <c r="X51" s="189" t="s">
        <v>125</v>
      </c>
      <c r="Y51" s="189" t="s">
        <v>125</v>
      </c>
      <c r="Z51" s="188">
        <v>49593</v>
      </c>
      <c r="AA51" s="188">
        <v>49593</v>
      </c>
      <c r="AB51" s="188">
        <v>0</v>
      </c>
      <c r="AC51" s="188">
        <v>12215402</v>
      </c>
      <c r="AD51" s="188">
        <v>218596</v>
      </c>
      <c r="AE51" s="190">
        <v>12433998</v>
      </c>
      <c r="AY51" s="192"/>
      <c r="AZ51" s="192"/>
    </row>
    <row r="52" spans="1:52" s="191" customFormat="1" ht="15" customHeight="1">
      <c r="A52" s="187" t="s">
        <v>168</v>
      </c>
      <c r="B52" s="188">
        <v>1074</v>
      </c>
      <c r="C52" s="188">
        <v>3</v>
      </c>
      <c r="D52" s="188">
        <v>0</v>
      </c>
      <c r="E52" s="188">
        <v>13705</v>
      </c>
      <c r="F52" s="188">
        <v>48</v>
      </c>
      <c r="G52" s="188">
        <v>9</v>
      </c>
      <c r="H52" s="188">
        <v>14779</v>
      </c>
      <c r="I52" s="188">
        <v>51</v>
      </c>
      <c r="J52" s="188">
        <v>9</v>
      </c>
      <c r="K52" s="188">
        <v>2682</v>
      </c>
      <c r="L52" s="188">
        <v>23832</v>
      </c>
      <c r="M52" s="188">
        <v>26514</v>
      </c>
      <c r="N52" s="188">
        <v>9</v>
      </c>
      <c r="O52" s="188">
        <v>3</v>
      </c>
      <c r="P52" s="188">
        <v>126</v>
      </c>
      <c r="Q52" s="188">
        <v>57</v>
      </c>
      <c r="R52" s="188">
        <v>135</v>
      </c>
      <c r="S52" s="188">
        <v>60</v>
      </c>
      <c r="T52" s="188">
        <v>0</v>
      </c>
      <c r="U52" s="188">
        <v>12</v>
      </c>
      <c r="V52" s="188">
        <v>12</v>
      </c>
      <c r="W52" s="189" t="s">
        <v>125</v>
      </c>
      <c r="X52" s="189" t="s">
        <v>125</v>
      </c>
      <c r="Y52" s="189" t="s">
        <v>125</v>
      </c>
      <c r="Z52" s="188">
        <v>16798</v>
      </c>
      <c r="AA52" s="188">
        <v>16798</v>
      </c>
      <c r="AB52" s="188">
        <v>0</v>
      </c>
      <c r="AC52" s="188">
        <v>3642656</v>
      </c>
      <c r="AD52" s="188">
        <v>7908</v>
      </c>
      <c r="AE52" s="190">
        <v>3650564</v>
      </c>
      <c r="AY52" s="192"/>
      <c r="AZ52" s="192"/>
    </row>
    <row r="53" spans="1:52" s="191" customFormat="1" ht="15" customHeight="1">
      <c r="A53" s="187" t="s">
        <v>169</v>
      </c>
      <c r="B53" s="188">
        <v>1184</v>
      </c>
      <c r="C53" s="188">
        <v>4</v>
      </c>
      <c r="D53" s="188">
        <v>0</v>
      </c>
      <c r="E53" s="188">
        <v>11193</v>
      </c>
      <c r="F53" s="188">
        <v>20</v>
      </c>
      <c r="G53" s="188">
        <v>18</v>
      </c>
      <c r="H53" s="188">
        <v>12377</v>
      </c>
      <c r="I53" s="188">
        <v>24</v>
      </c>
      <c r="J53" s="188">
        <v>18</v>
      </c>
      <c r="K53" s="188">
        <v>2857</v>
      </c>
      <c r="L53" s="188">
        <v>20227</v>
      </c>
      <c r="M53" s="188">
        <v>23084</v>
      </c>
      <c r="N53" s="188">
        <v>12</v>
      </c>
      <c r="O53" s="188">
        <v>4</v>
      </c>
      <c r="P53" s="188">
        <v>51</v>
      </c>
      <c r="Q53" s="188">
        <v>22</v>
      </c>
      <c r="R53" s="188">
        <v>63</v>
      </c>
      <c r="S53" s="188">
        <v>26</v>
      </c>
      <c r="T53" s="188">
        <v>0</v>
      </c>
      <c r="U53" s="188">
        <v>22</v>
      </c>
      <c r="V53" s="188">
        <v>22</v>
      </c>
      <c r="W53" s="189" t="s">
        <v>125</v>
      </c>
      <c r="X53" s="189" t="s">
        <v>125</v>
      </c>
      <c r="Y53" s="189" t="s">
        <v>125</v>
      </c>
      <c r="Z53" s="188">
        <v>13157</v>
      </c>
      <c r="AA53" s="188">
        <v>13157</v>
      </c>
      <c r="AB53" s="188">
        <v>0</v>
      </c>
      <c r="AC53" s="188">
        <v>3066892</v>
      </c>
      <c r="AD53" s="188">
        <v>6496</v>
      </c>
      <c r="AE53" s="190">
        <v>3073388</v>
      </c>
      <c r="AY53" s="192"/>
      <c r="AZ53" s="192"/>
    </row>
    <row r="54" spans="1:52" s="191" customFormat="1" ht="15" customHeight="1">
      <c r="A54" s="187" t="s">
        <v>170</v>
      </c>
      <c r="B54" s="188">
        <v>12</v>
      </c>
      <c r="C54" s="188">
        <v>0</v>
      </c>
      <c r="D54" s="188">
        <v>0</v>
      </c>
      <c r="E54" s="188">
        <v>150</v>
      </c>
      <c r="F54" s="188">
        <v>0</v>
      </c>
      <c r="G54" s="188">
        <v>0</v>
      </c>
      <c r="H54" s="188">
        <v>162</v>
      </c>
      <c r="I54" s="188">
        <v>0</v>
      </c>
      <c r="J54" s="188">
        <v>0</v>
      </c>
      <c r="K54" s="188">
        <v>30</v>
      </c>
      <c r="L54" s="188">
        <v>236</v>
      </c>
      <c r="M54" s="188">
        <v>266</v>
      </c>
      <c r="N54" s="188">
        <v>0</v>
      </c>
      <c r="O54" s="188">
        <v>0</v>
      </c>
      <c r="P54" s="188">
        <v>0</v>
      </c>
      <c r="Q54" s="188">
        <v>0</v>
      </c>
      <c r="R54" s="188">
        <v>0</v>
      </c>
      <c r="S54" s="188">
        <v>0</v>
      </c>
      <c r="T54" s="188">
        <v>0</v>
      </c>
      <c r="U54" s="188">
        <v>0</v>
      </c>
      <c r="V54" s="188">
        <v>0</v>
      </c>
      <c r="W54" s="189" t="s">
        <v>125</v>
      </c>
      <c r="X54" s="189" t="s">
        <v>125</v>
      </c>
      <c r="Y54" s="189" t="s">
        <v>125</v>
      </c>
      <c r="Z54" s="188">
        <v>170</v>
      </c>
      <c r="AA54" s="188">
        <v>170</v>
      </c>
      <c r="AB54" s="188">
        <v>0</v>
      </c>
      <c r="AC54" s="188">
        <v>36225</v>
      </c>
      <c r="AD54" s="188">
        <v>0</v>
      </c>
      <c r="AE54" s="190">
        <v>36225</v>
      </c>
      <c r="AY54" s="192"/>
      <c r="AZ54" s="192"/>
    </row>
    <row r="55" spans="1:52" s="191" customFormat="1" ht="15" customHeight="1">
      <c r="A55" s="187" t="s">
        <v>171</v>
      </c>
      <c r="B55" s="188">
        <v>373</v>
      </c>
      <c r="C55" s="188">
        <v>0</v>
      </c>
      <c r="D55" s="188">
        <v>0</v>
      </c>
      <c r="E55" s="188">
        <v>2732</v>
      </c>
      <c r="F55" s="188">
        <v>8</v>
      </c>
      <c r="G55" s="188">
        <v>3</v>
      </c>
      <c r="H55" s="188">
        <v>3105</v>
      </c>
      <c r="I55" s="188">
        <v>8</v>
      </c>
      <c r="J55" s="188">
        <v>3</v>
      </c>
      <c r="K55" s="188">
        <v>1001</v>
      </c>
      <c r="L55" s="188">
        <v>5451</v>
      </c>
      <c r="M55" s="188">
        <v>6452</v>
      </c>
      <c r="N55" s="188">
        <v>0</v>
      </c>
      <c r="O55" s="188">
        <v>0</v>
      </c>
      <c r="P55" s="188">
        <v>24</v>
      </c>
      <c r="Q55" s="188">
        <v>10</v>
      </c>
      <c r="R55" s="188">
        <v>24</v>
      </c>
      <c r="S55" s="188">
        <v>10</v>
      </c>
      <c r="T55" s="188">
        <v>0</v>
      </c>
      <c r="U55" s="188">
        <v>4</v>
      </c>
      <c r="V55" s="188">
        <v>4</v>
      </c>
      <c r="W55" s="189" t="s">
        <v>125</v>
      </c>
      <c r="X55" s="189" t="s">
        <v>125</v>
      </c>
      <c r="Y55" s="189" t="s">
        <v>125</v>
      </c>
      <c r="Z55" s="188">
        <v>3317</v>
      </c>
      <c r="AA55" s="188">
        <v>3317</v>
      </c>
      <c r="AB55" s="188">
        <v>0</v>
      </c>
      <c r="AC55" s="188">
        <v>849202</v>
      </c>
      <c r="AD55" s="188">
        <v>1575</v>
      </c>
      <c r="AE55" s="190">
        <v>850777</v>
      </c>
      <c r="AY55" s="192"/>
      <c r="AZ55" s="192"/>
    </row>
    <row r="56" spans="1:52" s="191" customFormat="1" ht="15" customHeight="1">
      <c r="A56" s="187" t="s">
        <v>172</v>
      </c>
      <c r="B56" s="188">
        <v>2376</v>
      </c>
      <c r="C56" s="188">
        <v>24</v>
      </c>
      <c r="D56" s="188">
        <v>0</v>
      </c>
      <c r="E56" s="188">
        <v>18524</v>
      </c>
      <c r="F56" s="188">
        <v>155</v>
      </c>
      <c r="G56" s="188">
        <v>57</v>
      </c>
      <c r="H56" s="188">
        <v>20900</v>
      </c>
      <c r="I56" s="188">
        <v>179</v>
      </c>
      <c r="J56" s="188">
        <v>57</v>
      </c>
      <c r="K56" s="188">
        <v>5669</v>
      </c>
      <c r="L56" s="188">
        <v>33300</v>
      </c>
      <c r="M56" s="188">
        <v>38969</v>
      </c>
      <c r="N56" s="188">
        <v>63</v>
      </c>
      <c r="O56" s="188">
        <v>26</v>
      </c>
      <c r="P56" s="188">
        <v>365</v>
      </c>
      <c r="Q56" s="188">
        <v>174</v>
      </c>
      <c r="R56" s="188">
        <v>428</v>
      </c>
      <c r="S56" s="188">
        <v>200</v>
      </c>
      <c r="T56" s="188">
        <v>0</v>
      </c>
      <c r="U56" s="188">
        <v>79</v>
      </c>
      <c r="V56" s="188">
        <v>79</v>
      </c>
      <c r="W56" s="189" t="s">
        <v>125</v>
      </c>
      <c r="X56" s="189" t="s">
        <v>125</v>
      </c>
      <c r="Y56" s="189" t="s">
        <v>125</v>
      </c>
      <c r="Z56" s="188">
        <v>22380</v>
      </c>
      <c r="AA56" s="188">
        <v>22380</v>
      </c>
      <c r="AB56" s="188">
        <v>0</v>
      </c>
      <c r="AC56" s="188">
        <v>5491585</v>
      </c>
      <c r="AD56" s="188">
        <v>28528</v>
      </c>
      <c r="AE56" s="190">
        <v>5520113</v>
      </c>
      <c r="AY56" s="192"/>
      <c r="AZ56" s="192"/>
    </row>
    <row r="57" spans="1:52" s="191" customFormat="1" ht="15" customHeight="1">
      <c r="A57" s="187" t="s">
        <v>173</v>
      </c>
      <c r="B57" s="188">
        <v>1295</v>
      </c>
      <c r="C57" s="188">
        <v>42</v>
      </c>
      <c r="D57" s="188">
        <v>0</v>
      </c>
      <c r="E57" s="188">
        <v>15737</v>
      </c>
      <c r="F57" s="188">
        <v>225</v>
      </c>
      <c r="G57" s="188">
        <v>49</v>
      </c>
      <c r="H57" s="188">
        <v>17032</v>
      </c>
      <c r="I57" s="188">
        <v>267</v>
      </c>
      <c r="J57" s="188">
        <v>49</v>
      </c>
      <c r="K57" s="188">
        <v>3129</v>
      </c>
      <c r="L57" s="188">
        <v>26453</v>
      </c>
      <c r="M57" s="188">
        <v>29582</v>
      </c>
      <c r="N57" s="188">
        <v>106</v>
      </c>
      <c r="O57" s="188">
        <v>48</v>
      </c>
      <c r="P57" s="188">
        <v>547</v>
      </c>
      <c r="Q57" s="188">
        <v>247</v>
      </c>
      <c r="R57" s="188">
        <v>653</v>
      </c>
      <c r="S57" s="188">
        <v>295</v>
      </c>
      <c r="T57" s="188">
        <v>0</v>
      </c>
      <c r="U57" s="188">
        <v>64</v>
      </c>
      <c r="V57" s="188">
        <v>64</v>
      </c>
      <c r="W57" s="189" t="s">
        <v>125</v>
      </c>
      <c r="X57" s="189" t="s">
        <v>125</v>
      </c>
      <c r="Y57" s="189" t="s">
        <v>125</v>
      </c>
      <c r="Z57" s="188">
        <v>19581</v>
      </c>
      <c r="AA57" s="188">
        <v>19581</v>
      </c>
      <c r="AB57" s="188">
        <v>0</v>
      </c>
      <c r="AC57" s="188">
        <v>4026104</v>
      </c>
      <c r="AD57" s="188">
        <v>32807</v>
      </c>
      <c r="AE57" s="190">
        <v>4058911</v>
      </c>
      <c r="AY57" s="192"/>
      <c r="AZ57" s="192"/>
    </row>
    <row r="58" spans="1:52" s="191" customFormat="1" ht="15" customHeight="1">
      <c r="A58" s="187" t="s">
        <v>174</v>
      </c>
      <c r="B58" s="188">
        <v>5182</v>
      </c>
      <c r="C58" s="188">
        <v>30</v>
      </c>
      <c r="D58" s="188">
        <v>0</v>
      </c>
      <c r="E58" s="188">
        <v>34308</v>
      </c>
      <c r="F58" s="188">
        <v>183</v>
      </c>
      <c r="G58" s="188">
        <v>29</v>
      </c>
      <c r="H58" s="188">
        <v>39490</v>
      </c>
      <c r="I58" s="188">
        <v>213</v>
      </c>
      <c r="J58" s="188">
        <v>29</v>
      </c>
      <c r="K58" s="188">
        <v>13502</v>
      </c>
      <c r="L58" s="188">
        <v>68730</v>
      </c>
      <c r="M58" s="188">
        <v>82232</v>
      </c>
      <c r="N58" s="188">
        <v>86</v>
      </c>
      <c r="O58" s="188">
        <v>37</v>
      </c>
      <c r="P58" s="188">
        <v>537</v>
      </c>
      <c r="Q58" s="188">
        <v>208</v>
      </c>
      <c r="R58" s="188">
        <v>623</v>
      </c>
      <c r="S58" s="188">
        <v>245</v>
      </c>
      <c r="T58" s="188">
        <v>0</v>
      </c>
      <c r="U58" s="188">
        <v>37</v>
      </c>
      <c r="V58" s="188">
        <v>37</v>
      </c>
      <c r="W58" s="189" t="s">
        <v>125</v>
      </c>
      <c r="X58" s="189" t="s">
        <v>125</v>
      </c>
      <c r="Y58" s="189" t="s">
        <v>125</v>
      </c>
      <c r="Z58" s="188">
        <v>41332</v>
      </c>
      <c r="AA58" s="188">
        <v>41332</v>
      </c>
      <c r="AB58" s="188">
        <v>0</v>
      </c>
      <c r="AC58" s="188">
        <v>11050529</v>
      </c>
      <c r="AD58" s="188">
        <v>24807</v>
      </c>
      <c r="AE58" s="190">
        <v>11075336</v>
      </c>
      <c r="AY58" s="192"/>
      <c r="AZ58" s="192"/>
    </row>
    <row r="59" spans="1:52" s="191" customFormat="1" ht="15" customHeight="1">
      <c r="A59" s="187" t="s">
        <v>216</v>
      </c>
      <c r="B59" s="188">
        <v>701</v>
      </c>
      <c r="C59" s="188">
        <v>13</v>
      </c>
      <c r="D59" s="188">
        <v>0</v>
      </c>
      <c r="E59" s="188">
        <v>4834</v>
      </c>
      <c r="F59" s="188">
        <v>48</v>
      </c>
      <c r="G59" s="188">
        <v>13</v>
      </c>
      <c r="H59" s="188">
        <v>5535</v>
      </c>
      <c r="I59" s="188">
        <v>61</v>
      </c>
      <c r="J59" s="188">
        <v>13</v>
      </c>
      <c r="K59" s="188">
        <v>1968</v>
      </c>
      <c r="L59" s="188">
        <v>10598</v>
      </c>
      <c r="M59" s="188">
        <v>12566</v>
      </c>
      <c r="N59" s="188">
        <v>28</v>
      </c>
      <c r="O59" s="188">
        <v>13</v>
      </c>
      <c r="P59" s="188">
        <v>135</v>
      </c>
      <c r="Q59" s="188">
        <v>59</v>
      </c>
      <c r="R59" s="188">
        <v>163</v>
      </c>
      <c r="S59" s="188">
        <v>72</v>
      </c>
      <c r="T59" s="188">
        <v>0</v>
      </c>
      <c r="U59" s="188">
        <v>18</v>
      </c>
      <c r="V59" s="188">
        <v>18</v>
      </c>
      <c r="W59" s="189" t="s">
        <v>125</v>
      </c>
      <c r="X59" s="189" t="s">
        <v>125</v>
      </c>
      <c r="Y59" s="189" t="s">
        <v>125</v>
      </c>
      <c r="Z59" s="188">
        <v>5853</v>
      </c>
      <c r="AA59" s="188">
        <v>5853</v>
      </c>
      <c r="AB59" s="188">
        <v>0</v>
      </c>
      <c r="AC59" s="188">
        <v>1677956</v>
      </c>
      <c r="AD59" s="188">
        <v>9372</v>
      </c>
      <c r="AE59" s="190">
        <v>1687328</v>
      </c>
      <c r="AY59" s="192"/>
      <c r="AZ59" s="192"/>
    </row>
    <row r="60" spans="1:52" s="191" customFormat="1" ht="15" customHeight="1">
      <c r="A60" s="187" t="s">
        <v>176</v>
      </c>
      <c r="B60" s="188">
        <v>461</v>
      </c>
      <c r="C60" s="188">
        <v>0</v>
      </c>
      <c r="D60" s="188">
        <v>0</v>
      </c>
      <c r="E60" s="188">
        <v>3867</v>
      </c>
      <c r="F60" s="188">
        <v>12</v>
      </c>
      <c r="G60" s="188">
        <v>1</v>
      </c>
      <c r="H60" s="188">
        <v>4328</v>
      </c>
      <c r="I60" s="188">
        <v>12</v>
      </c>
      <c r="J60" s="188">
        <v>1</v>
      </c>
      <c r="K60" s="188">
        <v>1205</v>
      </c>
      <c r="L60" s="188">
        <v>8143</v>
      </c>
      <c r="M60" s="188">
        <v>9348</v>
      </c>
      <c r="N60" s="188">
        <v>0</v>
      </c>
      <c r="O60" s="188">
        <v>0</v>
      </c>
      <c r="P60" s="188">
        <v>34</v>
      </c>
      <c r="Q60" s="188">
        <v>13</v>
      </c>
      <c r="R60" s="188">
        <v>34</v>
      </c>
      <c r="S60" s="188">
        <v>13</v>
      </c>
      <c r="T60" s="188">
        <v>0</v>
      </c>
      <c r="U60" s="188">
        <v>1</v>
      </c>
      <c r="V60" s="188">
        <v>1</v>
      </c>
      <c r="W60" s="189" t="s">
        <v>125</v>
      </c>
      <c r="X60" s="189" t="s">
        <v>125</v>
      </c>
      <c r="Y60" s="189" t="s">
        <v>125</v>
      </c>
      <c r="Z60" s="188">
        <v>4661</v>
      </c>
      <c r="AA60" s="188">
        <v>4661</v>
      </c>
      <c r="AB60" s="188">
        <v>0</v>
      </c>
      <c r="AC60" s="188">
        <v>1205050</v>
      </c>
      <c r="AD60" s="188">
        <v>1999</v>
      </c>
      <c r="AE60" s="190">
        <v>1207049</v>
      </c>
      <c r="AY60" s="192"/>
      <c r="AZ60" s="192"/>
    </row>
    <row r="61" spans="1:52" s="191" customFormat="1" ht="15" customHeight="1">
      <c r="A61" s="187" t="s">
        <v>177</v>
      </c>
      <c r="B61" s="188">
        <v>56</v>
      </c>
      <c r="C61" s="188">
        <v>0</v>
      </c>
      <c r="D61" s="188">
        <v>0</v>
      </c>
      <c r="E61" s="188">
        <v>910</v>
      </c>
      <c r="F61" s="188">
        <v>2</v>
      </c>
      <c r="G61" s="188">
        <v>0</v>
      </c>
      <c r="H61" s="188">
        <v>966</v>
      </c>
      <c r="I61" s="188">
        <v>2</v>
      </c>
      <c r="J61" s="188">
        <v>0</v>
      </c>
      <c r="K61" s="188">
        <v>131</v>
      </c>
      <c r="L61" s="188">
        <v>1579</v>
      </c>
      <c r="M61" s="188">
        <v>1710</v>
      </c>
      <c r="N61" s="188">
        <v>0</v>
      </c>
      <c r="O61" s="188">
        <v>0</v>
      </c>
      <c r="P61" s="188">
        <v>4</v>
      </c>
      <c r="Q61" s="188">
        <v>2</v>
      </c>
      <c r="R61" s="188">
        <v>4</v>
      </c>
      <c r="S61" s="188">
        <v>2</v>
      </c>
      <c r="T61" s="188">
        <v>0</v>
      </c>
      <c r="U61" s="188">
        <v>0</v>
      </c>
      <c r="V61" s="188">
        <v>0</v>
      </c>
      <c r="W61" s="189" t="s">
        <v>125</v>
      </c>
      <c r="X61" s="189" t="s">
        <v>125</v>
      </c>
      <c r="Y61" s="189" t="s">
        <v>125</v>
      </c>
      <c r="Z61" s="188">
        <v>1032</v>
      </c>
      <c r="AA61" s="188">
        <v>1032</v>
      </c>
      <c r="AB61" s="188">
        <v>0</v>
      </c>
      <c r="AC61" s="188">
        <v>241570</v>
      </c>
      <c r="AD61" s="188">
        <v>228</v>
      </c>
      <c r="AE61" s="190">
        <v>241798</v>
      </c>
      <c r="AY61" s="192"/>
      <c r="AZ61" s="192"/>
    </row>
    <row r="62" spans="1:52" s="191" customFormat="1" ht="15" customHeight="1">
      <c r="A62" s="187" t="s">
        <v>178</v>
      </c>
      <c r="B62" s="188">
        <v>7227</v>
      </c>
      <c r="C62" s="188">
        <v>65</v>
      </c>
      <c r="D62" s="188">
        <v>0</v>
      </c>
      <c r="E62" s="188">
        <v>43119</v>
      </c>
      <c r="F62" s="188">
        <v>752</v>
      </c>
      <c r="G62" s="188">
        <v>206</v>
      </c>
      <c r="H62" s="188">
        <v>50346</v>
      </c>
      <c r="I62" s="188">
        <v>817</v>
      </c>
      <c r="J62" s="188">
        <v>206</v>
      </c>
      <c r="K62" s="188">
        <v>19783</v>
      </c>
      <c r="L62" s="188">
        <v>96093</v>
      </c>
      <c r="M62" s="188">
        <v>115876</v>
      </c>
      <c r="N62" s="188">
        <v>158</v>
      </c>
      <c r="O62" s="188">
        <v>75</v>
      </c>
      <c r="P62" s="188">
        <v>2102</v>
      </c>
      <c r="Q62" s="188">
        <v>835</v>
      </c>
      <c r="R62" s="188">
        <v>2260</v>
      </c>
      <c r="S62" s="188">
        <v>910</v>
      </c>
      <c r="T62" s="188">
        <v>0</v>
      </c>
      <c r="U62" s="188">
        <v>258</v>
      </c>
      <c r="V62" s="188">
        <v>258</v>
      </c>
      <c r="W62" s="189" t="s">
        <v>125</v>
      </c>
      <c r="X62" s="189" t="s">
        <v>125</v>
      </c>
      <c r="Y62" s="189" t="s">
        <v>125</v>
      </c>
      <c r="Z62" s="188">
        <v>59214</v>
      </c>
      <c r="AA62" s="188">
        <v>59214</v>
      </c>
      <c r="AB62" s="188">
        <v>0</v>
      </c>
      <c r="AC62" s="188">
        <v>15824765</v>
      </c>
      <c r="AD62" s="188">
        <v>129680</v>
      </c>
      <c r="AE62" s="190">
        <v>15954445</v>
      </c>
      <c r="AY62" s="192"/>
      <c r="AZ62" s="192"/>
    </row>
    <row r="63" spans="1:52" s="191" customFormat="1" ht="15" customHeight="1">
      <c r="A63" s="187" t="s">
        <v>179</v>
      </c>
      <c r="B63" s="188">
        <v>269</v>
      </c>
      <c r="C63" s="188">
        <v>1</v>
      </c>
      <c r="D63" s="188">
        <v>0</v>
      </c>
      <c r="E63" s="188">
        <v>2647</v>
      </c>
      <c r="F63" s="188">
        <v>2</v>
      </c>
      <c r="G63" s="188">
        <v>2</v>
      </c>
      <c r="H63" s="188">
        <v>2916</v>
      </c>
      <c r="I63" s="188">
        <v>3</v>
      </c>
      <c r="J63" s="188">
        <v>2</v>
      </c>
      <c r="K63" s="188">
        <v>684</v>
      </c>
      <c r="L63" s="188">
        <v>4424</v>
      </c>
      <c r="M63" s="188">
        <v>5108</v>
      </c>
      <c r="N63" s="188">
        <v>4</v>
      </c>
      <c r="O63" s="188">
        <v>2</v>
      </c>
      <c r="P63" s="188">
        <v>2</v>
      </c>
      <c r="Q63" s="188">
        <v>2</v>
      </c>
      <c r="R63" s="188">
        <v>6</v>
      </c>
      <c r="S63" s="188">
        <v>4</v>
      </c>
      <c r="T63" s="188">
        <v>0</v>
      </c>
      <c r="U63" s="188">
        <v>4</v>
      </c>
      <c r="V63" s="188">
        <v>4</v>
      </c>
      <c r="W63" s="189" t="s">
        <v>125</v>
      </c>
      <c r="X63" s="189" t="s">
        <v>125</v>
      </c>
      <c r="Y63" s="189" t="s">
        <v>125</v>
      </c>
      <c r="Z63" s="188">
        <v>3094</v>
      </c>
      <c r="AA63" s="188">
        <v>3094</v>
      </c>
      <c r="AB63" s="188">
        <v>0</v>
      </c>
      <c r="AC63" s="188">
        <v>675352</v>
      </c>
      <c r="AD63" s="188">
        <v>552</v>
      </c>
      <c r="AE63" s="190">
        <v>675904</v>
      </c>
      <c r="AY63" s="192"/>
      <c r="AZ63" s="192"/>
    </row>
    <row r="64" spans="1:52" s="191" customFormat="1" ht="15" customHeight="1">
      <c r="A64" s="187" t="s">
        <v>180</v>
      </c>
      <c r="B64" s="188">
        <v>2661</v>
      </c>
      <c r="C64" s="188">
        <v>20</v>
      </c>
      <c r="D64" s="188">
        <v>0</v>
      </c>
      <c r="E64" s="188">
        <v>32445</v>
      </c>
      <c r="F64" s="188">
        <v>316</v>
      </c>
      <c r="G64" s="188">
        <v>224</v>
      </c>
      <c r="H64" s="188">
        <v>35106</v>
      </c>
      <c r="I64" s="188">
        <v>336</v>
      </c>
      <c r="J64" s="188">
        <v>224</v>
      </c>
      <c r="K64" s="188">
        <v>6766</v>
      </c>
      <c r="L64" s="188">
        <v>62661</v>
      </c>
      <c r="M64" s="188">
        <v>69427</v>
      </c>
      <c r="N64" s="188">
        <v>47</v>
      </c>
      <c r="O64" s="188">
        <v>26</v>
      </c>
      <c r="P64" s="188">
        <v>746</v>
      </c>
      <c r="Q64" s="188">
        <v>376</v>
      </c>
      <c r="R64" s="188">
        <v>793</v>
      </c>
      <c r="S64" s="188">
        <v>402</v>
      </c>
      <c r="T64" s="188">
        <v>0</v>
      </c>
      <c r="U64" s="188">
        <v>290</v>
      </c>
      <c r="V64" s="188">
        <v>290</v>
      </c>
      <c r="W64" s="189" t="s">
        <v>125</v>
      </c>
      <c r="X64" s="189" t="s">
        <v>125</v>
      </c>
      <c r="Y64" s="189" t="s">
        <v>125</v>
      </c>
      <c r="Z64" s="188">
        <v>40919</v>
      </c>
      <c r="AA64" s="188">
        <v>40919</v>
      </c>
      <c r="AB64" s="188">
        <v>0</v>
      </c>
      <c r="AC64" s="188">
        <v>9427808</v>
      </c>
      <c r="AD64" s="188">
        <v>120045</v>
      </c>
      <c r="AE64" s="190">
        <v>9547853</v>
      </c>
      <c r="AY64" s="192"/>
      <c r="AZ64" s="192"/>
    </row>
    <row r="65" spans="1:52" s="191" customFormat="1" ht="15" customHeight="1">
      <c r="A65" s="187" t="s">
        <v>181</v>
      </c>
      <c r="B65" s="188">
        <v>815</v>
      </c>
      <c r="C65" s="188">
        <v>42</v>
      </c>
      <c r="D65" s="188">
        <v>0</v>
      </c>
      <c r="E65" s="188">
        <v>9025</v>
      </c>
      <c r="F65" s="188">
        <v>147</v>
      </c>
      <c r="G65" s="188">
        <v>62</v>
      </c>
      <c r="H65" s="188">
        <v>9840</v>
      </c>
      <c r="I65" s="188">
        <v>189</v>
      </c>
      <c r="J65" s="188">
        <v>62</v>
      </c>
      <c r="K65" s="188">
        <v>2091</v>
      </c>
      <c r="L65" s="188">
        <v>16349</v>
      </c>
      <c r="M65" s="188">
        <v>18440</v>
      </c>
      <c r="N65" s="188">
        <v>102</v>
      </c>
      <c r="O65" s="188">
        <v>71</v>
      </c>
      <c r="P65" s="188">
        <v>398</v>
      </c>
      <c r="Q65" s="188">
        <v>217</v>
      </c>
      <c r="R65" s="188">
        <v>500</v>
      </c>
      <c r="S65" s="188">
        <v>288</v>
      </c>
      <c r="T65" s="188">
        <v>0</v>
      </c>
      <c r="U65" s="188">
        <v>83</v>
      </c>
      <c r="V65" s="188">
        <v>83</v>
      </c>
      <c r="W65" s="189" t="s">
        <v>125</v>
      </c>
      <c r="X65" s="189" t="s">
        <v>125</v>
      </c>
      <c r="Y65" s="189" t="s">
        <v>125</v>
      </c>
      <c r="Z65" s="188">
        <v>11755</v>
      </c>
      <c r="AA65" s="188">
        <v>11755</v>
      </c>
      <c r="AB65" s="188">
        <v>0</v>
      </c>
      <c r="AC65" s="188">
        <v>2575872</v>
      </c>
      <c r="AD65" s="188">
        <v>44047</v>
      </c>
      <c r="AE65" s="190">
        <v>2619919</v>
      </c>
      <c r="AY65" s="192"/>
      <c r="AZ65" s="192"/>
    </row>
    <row r="66" spans="1:52" s="191" customFormat="1" ht="15" customHeight="1" thickBot="1">
      <c r="A66" s="193" t="s">
        <v>182</v>
      </c>
      <c r="B66" s="194">
        <v>784</v>
      </c>
      <c r="C66" s="194">
        <v>5</v>
      </c>
      <c r="D66" s="194">
        <v>0</v>
      </c>
      <c r="E66" s="194">
        <v>5125</v>
      </c>
      <c r="F66" s="194">
        <v>30</v>
      </c>
      <c r="G66" s="194">
        <v>7</v>
      </c>
      <c r="H66" s="194">
        <v>5909</v>
      </c>
      <c r="I66" s="194">
        <v>35</v>
      </c>
      <c r="J66" s="194">
        <v>7</v>
      </c>
      <c r="K66" s="194">
        <v>2079</v>
      </c>
      <c r="L66" s="194">
        <v>10702</v>
      </c>
      <c r="M66" s="194">
        <v>12781</v>
      </c>
      <c r="N66" s="194">
        <v>13</v>
      </c>
      <c r="O66" s="194">
        <v>7</v>
      </c>
      <c r="P66" s="194">
        <v>92</v>
      </c>
      <c r="Q66" s="194">
        <v>41</v>
      </c>
      <c r="R66" s="194">
        <v>105</v>
      </c>
      <c r="S66" s="194">
        <v>48</v>
      </c>
      <c r="T66" s="194">
        <v>0</v>
      </c>
      <c r="U66" s="194">
        <v>7</v>
      </c>
      <c r="V66" s="194">
        <v>7</v>
      </c>
      <c r="W66" s="195" t="s">
        <v>125</v>
      </c>
      <c r="X66" s="195" t="s">
        <v>125</v>
      </c>
      <c r="Y66" s="195" t="s">
        <v>125</v>
      </c>
      <c r="Z66" s="194">
        <v>6277</v>
      </c>
      <c r="AA66" s="194">
        <v>6277</v>
      </c>
      <c r="AB66" s="194">
        <v>0</v>
      </c>
      <c r="AC66" s="194">
        <v>1722395</v>
      </c>
      <c r="AD66" s="194">
        <v>5767</v>
      </c>
      <c r="AE66" s="196">
        <v>1728162</v>
      </c>
      <c r="AG66" s="197" t="s">
        <v>63</v>
      </c>
      <c r="AY66" s="192"/>
      <c r="AZ66" s="192"/>
    </row>
    <row r="67" spans="1:52" s="191" customFormat="1" ht="15.75" customHeight="1" thickTop="1">
      <c r="A67" s="198" t="s">
        <v>183</v>
      </c>
      <c r="B67" s="199">
        <f>SUBTOTAL(109,May17Data[Cell 1])</f>
        <v>244081</v>
      </c>
      <c r="C67" s="199">
        <f>SUBTOTAL(109,May17Data[Cell 2])</f>
        <v>4860</v>
      </c>
      <c r="D67" s="199">
        <f>SUBTOTAL(109,May17Data[Cell 3])</f>
        <v>297</v>
      </c>
      <c r="E67" s="199">
        <f>SUBTOTAL(109,May17Data[Cell 4])</f>
        <v>1707219</v>
      </c>
      <c r="F67" s="199">
        <f>SUBTOTAL(109,May17Data[Cell 5])</f>
        <v>20362</v>
      </c>
      <c r="G67" s="199">
        <f>SUBTOTAL(109,May17Data[Cell 6])</f>
        <v>10400</v>
      </c>
      <c r="H67" s="199">
        <f>SUBTOTAL(109,May17Data[Cell 15])</f>
        <v>1951300</v>
      </c>
      <c r="I67" s="199">
        <f>SUBTOTAL(109,May17Data[Cell 16])</f>
        <v>25222</v>
      </c>
      <c r="J67" s="199">
        <f>SUBTOTAL(109,May17Data[Cell 17])</f>
        <v>10697</v>
      </c>
      <c r="K67" s="199">
        <f>SUBTOTAL(109,May17Data[Cell 7])</f>
        <v>623007</v>
      </c>
      <c r="L67" s="199">
        <f>SUBTOTAL(109,May17Data[Cell 8])</f>
        <v>3375999</v>
      </c>
      <c r="M67" s="199">
        <f>SUBTOTAL(109,May17Data[Cell 18])</f>
        <v>3999006</v>
      </c>
      <c r="N67" s="199">
        <f>SUBTOTAL(109,May17Data[Cell 9])</f>
        <v>10938</v>
      </c>
      <c r="O67" s="199">
        <f>SUBTOTAL(109,May17Data[Cell 10])</f>
        <v>6655</v>
      </c>
      <c r="P67" s="199">
        <f>SUBTOTAL(109,May17Data[Cell 11])</f>
        <v>48764</v>
      </c>
      <c r="Q67" s="199">
        <f>SUBTOTAL(109,May17Data[Cell 12])</f>
        <v>24972</v>
      </c>
      <c r="R67" s="199">
        <f>SUBTOTAL(109,May17Data[Cell 19])</f>
        <v>59702</v>
      </c>
      <c r="S67" s="199">
        <f>SUBTOTAL(109,May17Data[Cell 20])</f>
        <v>31627</v>
      </c>
      <c r="T67" s="199">
        <f>SUBTOTAL(109,May17Data[Cell 13])</f>
        <v>386</v>
      </c>
      <c r="U67" s="199">
        <f>SUBTOTAL(109,May17Data[Cell 14])</f>
        <v>13384</v>
      </c>
      <c r="V67" s="199">
        <f>SUBTOTAL(109,May17Data[Cell 21])</f>
        <v>13770</v>
      </c>
      <c r="W67" s="200"/>
      <c r="X67" s="200"/>
      <c r="Y67" s="200"/>
      <c r="Z67" s="199">
        <f>SUBTOTAL(109,May17Data[Cell 25])</f>
        <v>2140060</v>
      </c>
      <c r="AA67" s="199">
        <f>SUBTOTAL(109,May17Data[Cell 26])</f>
        <v>2140060</v>
      </c>
      <c r="AB67" s="199">
        <f>SUBTOTAL(109,May17Data[Cell 27])</f>
        <v>0</v>
      </c>
      <c r="AC67" s="199">
        <f>SUBTOTAL(109,May17Data[Cell 28])</f>
        <v>558534987</v>
      </c>
      <c r="AD67" s="199">
        <f>SUBTOTAL(109,May17Data[Cell 29])</f>
        <v>5283329</v>
      </c>
      <c r="AE67" s="199">
        <f>SUBTOTAL(109,May17Data[Cell 30])</f>
        <v>563818316</v>
      </c>
      <c r="AG67" s="201">
        <v>1144099400</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19"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0</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240809</v>
      </c>
      <c r="F12" s="54">
        <v>2</v>
      </c>
      <c r="G12" s="55">
        <v>4796</v>
      </c>
      <c r="H12" s="54">
        <v>3</v>
      </c>
      <c r="I12" s="55">
        <v>277</v>
      </c>
      <c r="J12" s="54">
        <v>4</v>
      </c>
      <c r="K12" s="55">
        <v>1706686</v>
      </c>
      <c r="L12" s="54">
        <v>5</v>
      </c>
      <c r="M12" s="55">
        <v>20156</v>
      </c>
      <c r="N12" s="54">
        <v>6</v>
      </c>
      <c r="O12" s="55">
        <v>10403</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614850</v>
      </c>
      <c r="F14" s="68"/>
      <c r="G14" s="69"/>
      <c r="H14" s="68"/>
      <c r="I14" s="69"/>
      <c r="J14" s="66"/>
      <c r="K14" s="67">
        <v>3374357</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10835</v>
      </c>
      <c r="F16" s="68"/>
      <c r="G16" s="69"/>
      <c r="H16" s="66"/>
      <c r="I16" s="67">
        <v>6556</v>
      </c>
      <c r="J16" s="66"/>
      <c r="K16" s="67">
        <v>48332</v>
      </c>
      <c r="L16" s="68"/>
      <c r="M16" s="69"/>
      <c r="N16" s="66"/>
      <c r="O16" s="67">
        <v>24852</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368</v>
      </c>
      <c r="J18" s="68"/>
      <c r="K18" s="69"/>
      <c r="L18" s="68"/>
      <c r="M18" s="69"/>
      <c r="N18" s="66"/>
      <c r="O18" s="67">
        <v>13338</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1947495</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24952</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10680</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3989207</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59167</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31408</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13706</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2136862</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2136862</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555970033</v>
      </c>
    </row>
    <row r="37" spans="1:26" ht="17.25" customHeight="1">
      <c r="A37" s="97" t="s">
        <v>59</v>
      </c>
      <c r="B37" s="98" t="s">
        <v>60</v>
      </c>
      <c r="C37" s="98"/>
      <c r="D37" s="99"/>
      <c r="E37" s="98"/>
      <c r="F37" s="98"/>
      <c r="G37" s="98"/>
      <c r="H37" s="98"/>
      <c r="I37" s="98"/>
      <c r="J37" s="103"/>
      <c r="K37" s="103"/>
      <c r="L37" s="103"/>
      <c r="M37" s="103"/>
      <c r="N37" s="124">
        <v>29</v>
      </c>
      <c r="O37" s="125">
        <v>5232368</v>
      </c>
    </row>
    <row r="38" spans="1:26" ht="17.25" customHeight="1">
      <c r="A38" s="97" t="s">
        <v>61</v>
      </c>
      <c r="B38" s="98" t="s">
        <v>62</v>
      </c>
      <c r="C38" s="98"/>
      <c r="D38" s="99"/>
      <c r="E38" s="98"/>
      <c r="F38" s="98"/>
      <c r="G38" s="98"/>
      <c r="H38" s="98"/>
      <c r="I38" s="98"/>
      <c r="J38" s="103"/>
      <c r="K38" s="103"/>
      <c r="L38" s="103"/>
      <c r="M38" s="103"/>
      <c r="N38" s="126">
        <v>30</v>
      </c>
      <c r="O38" s="127">
        <v>561202401</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211</v>
      </c>
      <c r="B41" s="221"/>
      <c r="C41" s="221"/>
      <c r="D41" s="221"/>
      <c r="E41" s="221"/>
      <c r="F41" s="221"/>
      <c r="G41" s="221"/>
      <c r="H41" s="221"/>
      <c r="I41" s="221"/>
      <c r="J41" s="221"/>
      <c r="K41" s="221"/>
      <c r="L41" s="221"/>
      <c r="M41" s="221"/>
      <c r="N41" s="221"/>
      <c r="O41" s="222"/>
      <c r="Q41" s="27"/>
    </row>
    <row r="42" spans="1:26">
      <c r="L42" s="133" t="s">
        <v>63</v>
      </c>
      <c r="M42" s="134"/>
      <c r="N42" s="135"/>
      <c r="O42" s="136">
        <v>1138831756</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205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0</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5160</v>
      </c>
      <c r="C9" s="188">
        <v>216</v>
      </c>
      <c r="D9" s="188">
        <v>8</v>
      </c>
      <c r="E9" s="188">
        <v>49688</v>
      </c>
      <c r="F9" s="188">
        <v>1390</v>
      </c>
      <c r="G9" s="188">
        <v>679</v>
      </c>
      <c r="H9" s="188">
        <v>54848</v>
      </c>
      <c r="I9" s="188">
        <v>1606</v>
      </c>
      <c r="J9" s="188">
        <v>687</v>
      </c>
      <c r="K9" s="188">
        <v>11856</v>
      </c>
      <c r="L9" s="188">
        <v>89510</v>
      </c>
      <c r="M9" s="188">
        <v>101366</v>
      </c>
      <c r="N9" s="188">
        <v>519</v>
      </c>
      <c r="O9" s="188">
        <v>295</v>
      </c>
      <c r="P9" s="188">
        <v>3098</v>
      </c>
      <c r="Q9" s="188">
        <v>1819</v>
      </c>
      <c r="R9" s="188">
        <v>3617</v>
      </c>
      <c r="S9" s="188">
        <v>2114</v>
      </c>
      <c r="T9" s="188">
        <v>13</v>
      </c>
      <c r="U9" s="188">
        <v>890</v>
      </c>
      <c r="V9" s="188">
        <v>903</v>
      </c>
      <c r="W9" s="189" t="s">
        <v>125</v>
      </c>
      <c r="X9" s="189" t="s">
        <v>125</v>
      </c>
      <c r="Y9" s="189" t="s">
        <v>125</v>
      </c>
      <c r="Z9" s="188">
        <v>57141</v>
      </c>
      <c r="AA9" s="188">
        <v>57141</v>
      </c>
      <c r="AB9" s="188">
        <v>0</v>
      </c>
      <c r="AC9" s="188">
        <v>14826419</v>
      </c>
      <c r="AD9" s="188">
        <v>339572</v>
      </c>
      <c r="AE9" s="190">
        <v>15165991</v>
      </c>
    </row>
    <row r="10" spans="1:52" ht="15" customHeight="1">
      <c r="A10" s="187" t="s">
        <v>126</v>
      </c>
      <c r="B10" s="188">
        <v>1</v>
      </c>
      <c r="C10" s="188">
        <v>0</v>
      </c>
      <c r="D10" s="188">
        <v>0</v>
      </c>
      <c r="E10" s="188">
        <v>78</v>
      </c>
      <c r="F10" s="188">
        <v>0</v>
      </c>
      <c r="G10" s="188">
        <v>0</v>
      </c>
      <c r="H10" s="188">
        <v>79</v>
      </c>
      <c r="I10" s="188">
        <v>0</v>
      </c>
      <c r="J10" s="188">
        <v>0</v>
      </c>
      <c r="K10" s="188">
        <v>1</v>
      </c>
      <c r="L10" s="188">
        <v>138</v>
      </c>
      <c r="M10" s="188">
        <v>139</v>
      </c>
      <c r="N10" s="188">
        <v>0</v>
      </c>
      <c r="O10" s="188">
        <v>0</v>
      </c>
      <c r="P10" s="188">
        <v>0</v>
      </c>
      <c r="Q10" s="188">
        <v>0</v>
      </c>
      <c r="R10" s="188">
        <v>0</v>
      </c>
      <c r="S10" s="188">
        <v>0</v>
      </c>
      <c r="T10" s="188">
        <v>0</v>
      </c>
      <c r="U10" s="188">
        <v>0</v>
      </c>
      <c r="V10" s="188">
        <v>0</v>
      </c>
      <c r="W10" s="189" t="s">
        <v>125</v>
      </c>
      <c r="X10" s="189" t="s">
        <v>125</v>
      </c>
      <c r="Y10" s="189" t="s">
        <v>125</v>
      </c>
      <c r="Z10" s="188">
        <v>79</v>
      </c>
      <c r="AA10" s="188">
        <v>79</v>
      </c>
      <c r="AB10" s="188">
        <v>0</v>
      </c>
      <c r="AC10" s="188">
        <v>16678</v>
      </c>
      <c r="AD10" s="188">
        <v>0</v>
      </c>
      <c r="AE10" s="190">
        <v>16678</v>
      </c>
    </row>
    <row r="11" spans="1:52" ht="15" customHeight="1">
      <c r="A11" s="187" t="s">
        <v>127</v>
      </c>
      <c r="B11" s="188">
        <v>116</v>
      </c>
      <c r="C11" s="188">
        <v>0</v>
      </c>
      <c r="D11" s="188">
        <v>0</v>
      </c>
      <c r="E11" s="188">
        <v>1535</v>
      </c>
      <c r="F11" s="188">
        <v>2</v>
      </c>
      <c r="G11" s="188">
        <v>0</v>
      </c>
      <c r="H11" s="188">
        <v>1651</v>
      </c>
      <c r="I11" s="188">
        <v>2</v>
      </c>
      <c r="J11" s="188">
        <v>0</v>
      </c>
      <c r="K11" s="188">
        <v>303</v>
      </c>
      <c r="L11" s="188">
        <v>2694</v>
      </c>
      <c r="M11" s="188">
        <v>2997</v>
      </c>
      <c r="N11" s="188">
        <v>0</v>
      </c>
      <c r="O11" s="188">
        <v>0</v>
      </c>
      <c r="P11" s="188">
        <v>7</v>
      </c>
      <c r="Q11" s="188">
        <v>2</v>
      </c>
      <c r="R11" s="188">
        <v>7</v>
      </c>
      <c r="S11" s="188">
        <v>2</v>
      </c>
      <c r="T11" s="188">
        <v>0</v>
      </c>
      <c r="U11" s="188">
        <v>0</v>
      </c>
      <c r="V11" s="188">
        <v>0</v>
      </c>
      <c r="W11" s="189" t="s">
        <v>125</v>
      </c>
      <c r="X11" s="189" t="s">
        <v>125</v>
      </c>
      <c r="Y11" s="189" t="s">
        <v>125</v>
      </c>
      <c r="Z11" s="188">
        <v>1733</v>
      </c>
      <c r="AA11" s="188">
        <v>1733</v>
      </c>
      <c r="AB11" s="188">
        <v>0</v>
      </c>
      <c r="AC11" s="188">
        <v>396063</v>
      </c>
      <c r="AD11" s="188">
        <v>0</v>
      </c>
      <c r="AE11" s="190">
        <v>396063</v>
      </c>
    </row>
    <row r="12" spans="1:52" ht="15" customHeight="1">
      <c r="A12" s="187" t="s">
        <v>128</v>
      </c>
      <c r="B12" s="188">
        <v>1581</v>
      </c>
      <c r="C12" s="188">
        <v>9</v>
      </c>
      <c r="D12" s="188">
        <v>0</v>
      </c>
      <c r="E12" s="188">
        <v>15189</v>
      </c>
      <c r="F12" s="188">
        <v>41</v>
      </c>
      <c r="G12" s="188">
        <v>23</v>
      </c>
      <c r="H12" s="188">
        <v>16770</v>
      </c>
      <c r="I12" s="188">
        <v>50</v>
      </c>
      <c r="J12" s="188">
        <v>23</v>
      </c>
      <c r="K12" s="188">
        <v>3921</v>
      </c>
      <c r="L12" s="188">
        <v>27011</v>
      </c>
      <c r="M12" s="188">
        <v>30932</v>
      </c>
      <c r="N12" s="188">
        <v>21</v>
      </c>
      <c r="O12" s="188">
        <v>10</v>
      </c>
      <c r="P12" s="188">
        <v>113</v>
      </c>
      <c r="Q12" s="188">
        <v>44</v>
      </c>
      <c r="R12" s="188">
        <v>134</v>
      </c>
      <c r="S12" s="188">
        <v>54</v>
      </c>
      <c r="T12" s="188">
        <v>0</v>
      </c>
      <c r="U12" s="188">
        <v>27</v>
      </c>
      <c r="V12" s="188">
        <v>27</v>
      </c>
      <c r="W12" s="189" t="s">
        <v>125</v>
      </c>
      <c r="X12" s="189" t="s">
        <v>125</v>
      </c>
      <c r="Y12" s="189" t="s">
        <v>125</v>
      </c>
      <c r="Z12" s="188">
        <v>17746</v>
      </c>
      <c r="AA12" s="188">
        <v>17746</v>
      </c>
      <c r="AB12" s="188">
        <v>0</v>
      </c>
      <c r="AC12" s="188">
        <v>4229746</v>
      </c>
      <c r="AD12" s="188">
        <v>10307</v>
      </c>
      <c r="AE12" s="190">
        <v>4240053</v>
      </c>
    </row>
    <row r="13" spans="1:52" ht="15" customHeight="1">
      <c r="A13" s="187" t="s">
        <v>129</v>
      </c>
      <c r="B13" s="188">
        <v>187</v>
      </c>
      <c r="C13" s="188">
        <v>0</v>
      </c>
      <c r="D13" s="188">
        <v>0</v>
      </c>
      <c r="E13" s="188">
        <v>2612</v>
      </c>
      <c r="F13" s="188">
        <v>4</v>
      </c>
      <c r="G13" s="188">
        <v>4</v>
      </c>
      <c r="H13" s="188">
        <v>2799</v>
      </c>
      <c r="I13" s="188">
        <v>4</v>
      </c>
      <c r="J13" s="188">
        <v>4</v>
      </c>
      <c r="K13" s="188">
        <v>486</v>
      </c>
      <c r="L13" s="188">
        <v>4543</v>
      </c>
      <c r="M13" s="188">
        <v>5029</v>
      </c>
      <c r="N13" s="188">
        <v>0</v>
      </c>
      <c r="O13" s="188">
        <v>0</v>
      </c>
      <c r="P13" s="188">
        <v>7</v>
      </c>
      <c r="Q13" s="188">
        <v>5</v>
      </c>
      <c r="R13" s="188">
        <v>7</v>
      </c>
      <c r="S13" s="188">
        <v>5</v>
      </c>
      <c r="T13" s="188">
        <v>0</v>
      </c>
      <c r="U13" s="188">
        <v>5</v>
      </c>
      <c r="V13" s="188">
        <v>5</v>
      </c>
      <c r="W13" s="189" t="s">
        <v>125</v>
      </c>
      <c r="X13" s="189" t="s">
        <v>125</v>
      </c>
      <c r="Y13" s="189" t="s">
        <v>125</v>
      </c>
      <c r="Z13" s="188">
        <v>2940</v>
      </c>
      <c r="AA13" s="188">
        <v>2940</v>
      </c>
      <c r="AB13" s="188">
        <v>0</v>
      </c>
      <c r="AC13" s="188">
        <v>674140</v>
      </c>
      <c r="AD13" s="188">
        <v>1340</v>
      </c>
      <c r="AE13" s="190">
        <v>675480</v>
      </c>
    </row>
    <row r="14" spans="1:52" ht="15" customHeight="1">
      <c r="A14" s="187" t="s">
        <v>218</v>
      </c>
      <c r="B14" s="188">
        <v>83</v>
      </c>
      <c r="C14" s="188">
        <v>3</v>
      </c>
      <c r="D14" s="188">
        <v>0</v>
      </c>
      <c r="E14" s="188">
        <v>612</v>
      </c>
      <c r="F14" s="188">
        <v>2</v>
      </c>
      <c r="G14" s="188">
        <v>1</v>
      </c>
      <c r="H14" s="188">
        <v>695</v>
      </c>
      <c r="I14" s="188">
        <v>5</v>
      </c>
      <c r="J14" s="188">
        <v>1</v>
      </c>
      <c r="K14" s="188">
        <v>198</v>
      </c>
      <c r="L14" s="188">
        <v>1369</v>
      </c>
      <c r="M14" s="188">
        <v>1567</v>
      </c>
      <c r="N14" s="188">
        <v>7</v>
      </c>
      <c r="O14" s="188">
        <v>3</v>
      </c>
      <c r="P14" s="188">
        <v>6</v>
      </c>
      <c r="Q14" s="188">
        <v>2</v>
      </c>
      <c r="R14" s="188">
        <v>13</v>
      </c>
      <c r="S14" s="188">
        <v>5</v>
      </c>
      <c r="T14" s="188">
        <v>0</v>
      </c>
      <c r="U14" s="188">
        <v>1</v>
      </c>
      <c r="V14" s="188">
        <v>1</v>
      </c>
      <c r="W14" s="189" t="s">
        <v>125</v>
      </c>
      <c r="X14" s="189" t="s">
        <v>125</v>
      </c>
      <c r="Y14" s="189" t="s">
        <v>125</v>
      </c>
      <c r="Z14" s="188">
        <v>734</v>
      </c>
      <c r="AA14" s="188">
        <v>734</v>
      </c>
      <c r="AB14" s="188">
        <v>0</v>
      </c>
      <c r="AC14" s="188">
        <v>191573</v>
      </c>
      <c r="AD14" s="188">
        <v>576</v>
      </c>
      <c r="AE14" s="190">
        <v>192149</v>
      </c>
    </row>
    <row r="15" spans="1:52" ht="15" customHeight="1">
      <c r="A15" s="187" t="s">
        <v>131</v>
      </c>
      <c r="B15" s="188">
        <v>3694</v>
      </c>
      <c r="C15" s="188">
        <v>107</v>
      </c>
      <c r="D15" s="188">
        <v>1</v>
      </c>
      <c r="E15" s="188">
        <v>27080</v>
      </c>
      <c r="F15" s="188">
        <v>391</v>
      </c>
      <c r="G15" s="188">
        <v>125</v>
      </c>
      <c r="H15" s="188">
        <v>30774</v>
      </c>
      <c r="I15" s="188">
        <v>498</v>
      </c>
      <c r="J15" s="188">
        <v>126</v>
      </c>
      <c r="K15" s="188">
        <v>8648</v>
      </c>
      <c r="L15" s="188">
        <v>51999</v>
      </c>
      <c r="M15" s="188">
        <v>60647</v>
      </c>
      <c r="N15" s="188">
        <v>248</v>
      </c>
      <c r="O15" s="188">
        <v>160</v>
      </c>
      <c r="P15" s="188">
        <v>936</v>
      </c>
      <c r="Q15" s="188">
        <v>527</v>
      </c>
      <c r="R15" s="188">
        <v>1184</v>
      </c>
      <c r="S15" s="188">
        <v>687</v>
      </c>
      <c r="T15" s="188">
        <v>1</v>
      </c>
      <c r="U15" s="188">
        <v>163</v>
      </c>
      <c r="V15" s="188">
        <v>164</v>
      </c>
      <c r="W15" s="189" t="s">
        <v>125</v>
      </c>
      <c r="X15" s="189" t="s">
        <v>125</v>
      </c>
      <c r="Y15" s="189" t="s">
        <v>125</v>
      </c>
      <c r="Z15" s="188">
        <v>36324</v>
      </c>
      <c r="AA15" s="188">
        <v>36324</v>
      </c>
      <c r="AB15" s="188">
        <v>0</v>
      </c>
      <c r="AC15" s="188">
        <v>8691353</v>
      </c>
      <c r="AD15" s="188">
        <v>83165</v>
      </c>
      <c r="AE15" s="190">
        <v>8774518</v>
      </c>
    </row>
    <row r="16" spans="1:52" s="191" customFormat="1" ht="15" customHeight="1">
      <c r="A16" s="187" t="s">
        <v>132</v>
      </c>
      <c r="B16" s="188">
        <v>365</v>
      </c>
      <c r="C16" s="188">
        <v>0</v>
      </c>
      <c r="D16" s="188">
        <v>0</v>
      </c>
      <c r="E16" s="188">
        <v>2219</v>
      </c>
      <c r="F16" s="188">
        <v>1</v>
      </c>
      <c r="G16" s="188">
        <v>1</v>
      </c>
      <c r="H16" s="188">
        <v>2584</v>
      </c>
      <c r="I16" s="188">
        <v>1</v>
      </c>
      <c r="J16" s="188">
        <v>1</v>
      </c>
      <c r="K16" s="188">
        <v>1038</v>
      </c>
      <c r="L16" s="188">
        <v>4270</v>
      </c>
      <c r="M16" s="188">
        <v>5308</v>
      </c>
      <c r="N16" s="188">
        <v>0</v>
      </c>
      <c r="O16" s="188">
        <v>0</v>
      </c>
      <c r="P16" s="188">
        <v>2</v>
      </c>
      <c r="Q16" s="188">
        <v>1</v>
      </c>
      <c r="R16" s="188">
        <v>2</v>
      </c>
      <c r="S16" s="188">
        <v>1</v>
      </c>
      <c r="T16" s="188">
        <v>0</v>
      </c>
      <c r="U16" s="188">
        <v>2</v>
      </c>
      <c r="V16" s="188">
        <v>2</v>
      </c>
      <c r="W16" s="189" t="s">
        <v>125</v>
      </c>
      <c r="X16" s="189" t="s">
        <v>125</v>
      </c>
      <c r="Y16" s="189" t="s">
        <v>125</v>
      </c>
      <c r="Z16" s="188">
        <v>2700</v>
      </c>
      <c r="AA16" s="188">
        <v>2700</v>
      </c>
      <c r="AB16" s="188">
        <v>0</v>
      </c>
      <c r="AC16" s="188">
        <v>694920</v>
      </c>
      <c r="AD16" s="188">
        <v>521</v>
      </c>
      <c r="AE16" s="190">
        <v>695441</v>
      </c>
      <c r="AY16" s="192"/>
      <c r="AZ16" s="192"/>
    </row>
    <row r="17" spans="1:52" s="191" customFormat="1" ht="15" customHeight="1">
      <c r="A17" s="187" t="s">
        <v>133</v>
      </c>
      <c r="B17" s="188">
        <v>519</v>
      </c>
      <c r="C17" s="188">
        <v>2</v>
      </c>
      <c r="D17" s="188">
        <v>0</v>
      </c>
      <c r="E17" s="188">
        <v>6359</v>
      </c>
      <c r="F17" s="188">
        <v>27</v>
      </c>
      <c r="G17" s="188">
        <v>7</v>
      </c>
      <c r="H17" s="188">
        <v>6878</v>
      </c>
      <c r="I17" s="188">
        <v>29</v>
      </c>
      <c r="J17" s="188">
        <v>7</v>
      </c>
      <c r="K17" s="188">
        <v>1241</v>
      </c>
      <c r="L17" s="188">
        <v>10897</v>
      </c>
      <c r="M17" s="188">
        <v>12138</v>
      </c>
      <c r="N17" s="188">
        <v>2</v>
      </c>
      <c r="O17" s="188">
        <v>2</v>
      </c>
      <c r="P17" s="188">
        <v>70</v>
      </c>
      <c r="Q17" s="188">
        <v>35</v>
      </c>
      <c r="R17" s="188">
        <v>72</v>
      </c>
      <c r="S17" s="188">
        <v>37</v>
      </c>
      <c r="T17" s="188">
        <v>0</v>
      </c>
      <c r="U17" s="188">
        <v>7</v>
      </c>
      <c r="V17" s="188">
        <v>7</v>
      </c>
      <c r="W17" s="189" t="s">
        <v>125</v>
      </c>
      <c r="X17" s="189" t="s">
        <v>125</v>
      </c>
      <c r="Y17" s="189" t="s">
        <v>125</v>
      </c>
      <c r="Z17" s="188">
        <v>7220</v>
      </c>
      <c r="AA17" s="188">
        <v>7220</v>
      </c>
      <c r="AB17" s="188">
        <v>0</v>
      </c>
      <c r="AC17" s="188">
        <v>1620961</v>
      </c>
      <c r="AD17" s="188">
        <v>3240</v>
      </c>
      <c r="AE17" s="190">
        <v>1624201</v>
      </c>
      <c r="AY17" s="192"/>
      <c r="AZ17" s="192"/>
    </row>
    <row r="18" spans="1:52" s="191" customFormat="1" ht="15" customHeight="1">
      <c r="A18" s="187" t="s">
        <v>134</v>
      </c>
      <c r="B18" s="188">
        <v>11598</v>
      </c>
      <c r="C18" s="188">
        <v>180</v>
      </c>
      <c r="D18" s="188">
        <v>12</v>
      </c>
      <c r="E18" s="188">
        <v>75843</v>
      </c>
      <c r="F18" s="188">
        <v>644</v>
      </c>
      <c r="G18" s="188">
        <v>215</v>
      </c>
      <c r="H18" s="188">
        <v>87441</v>
      </c>
      <c r="I18" s="188">
        <v>824</v>
      </c>
      <c r="J18" s="188">
        <v>227</v>
      </c>
      <c r="K18" s="188">
        <v>31473</v>
      </c>
      <c r="L18" s="188">
        <v>170309</v>
      </c>
      <c r="M18" s="188">
        <v>201782</v>
      </c>
      <c r="N18" s="188">
        <v>462</v>
      </c>
      <c r="O18" s="188">
        <v>220</v>
      </c>
      <c r="P18" s="188">
        <v>1768</v>
      </c>
      <c r="Q18" s="188">
        <v>744</v>
      </c>
      <c r="R18" s="188">
        <v>2230</v>
      </c>
      <c r="S18" s="188">
        <v>964</v>
      </c>
      <c r="T18" s="188">
        <v>22</v>
      </c>
      <c r="U18" s="188">
        <v>271</v>
      </c>
      <c r="V18" s="188">
        <v>293</v>
      </c>
      <c r="W18" s="189" t="s">
        <v>125</v>
      </c>
      <c r="X18" s="189" t="s">
        <v>125</v>
      </c>
      <c r="Y18" s="189" t="s">
        <v>125</v>
      </c>
      <c r="Z18" s="188">
        <v>102195</v>
      </c>
      <c r="AA18" s="188">
        <v>102195</v>
      </c>
      <c r="AB18" s="188">
        <v>0</v>
      </c>
      <c r="AC18" s="188">
        <v>29789542</v>
      </c>
      <c r="AD18" s="188">
        <v>159768</v>
      </c>
      <c r="AE18" s="190">
        <v>29949310</v>
      </c>
      <c r="AY18" s="192"/>
      <c r="AZ18" s="192"/>
    </row>
    <row r="19" spans="1:52" s="191" customFormat="1" ht="15" customHeight="1">
      <c r="A19" s="187" t="s">
        <v>135</v>
      </c>
      <c r="B19" s="188">
        <v>197</v>
      </c>
      <c r="C19" s="188">
        <v>0</v>
      </c>
      <c r="D19" s="188">
        <v>0</v>
      </c>
      <c r="E19" s="188">
        <v>1297</v>
      </c>
      <c r="F19" s="188">
        <v>8</v>
      </c>
      <c r="G19" s="188">
        <v>0</v>
      </c>
      <c r="H19" s="188">
        <v>1494</v>
      </c>
      <c r="I19" s="188">
        <v>8</v>
      </c>
      <c r="J19" s="188">
        <v>0</v>
      </c>
      <c r="K19" s="188">
        <v>518</v>
      </c>
      <c r="L19" s="188">
        <v>2875</v>
      </c>
      <c r="M19" s="188">
        <v>3393</v>
      </c>
      <c r="N19" s="188">
        <v>0</v>
      </c>
      <c r="O19" s="188">
        <v>0</v>
      </c>
      <c r="P19" s="188">
        <v>23</v>
      </c>
      <c r="Q19" s="188">
        <v>8</v>
      </c>
      <c r="R19" s="188">
        <v>23</v>
      </c>
      <c r="S19" s="188">
        <v>8</v>
      </c>
      <c r="T19" s="188">
        <v>0</v>
      </c>
      <c r="U19" s="188">
        <v>0</v>
      </c>
      <c r="V19" s="188">
        <v>0</v>
      </c>
      <c r="W19" s="189" t="s">
        <v>125</v>
      </c>
      <c r="X19" s="189" t="s">
        <v>125</v>
      </c>
      <c r="Y19" s="189" t="s">
        <v>125</v>
      </c>
      <c r="Z19" s="188">
        <v>1621</v>
      </c>
      <c r="AA19" s="188">
        <v>1621</v>
      </c>
      <c r="AB19" s="188">
        <v>0</v>
      </c>
      <c r="AC19" s="188">
        <v>414194</v>
      </c>
      <c r="AD19" s="188">
        <v>619</v>
      </c>
      <c r="AE19" s="190">
        <v>414813</v>
      </c>
      <c r="AY19" s="192"/>
      <c r="AZ19" s="192"/>
    </row>
    <row r="20" spans="1:52" s="191" customFormat="1" ht="15" customHeight="1">
      <c r="A20" s="187" t="s">
        <v>136</v>
      </c>
      <c r="B20" s="188">
        <v>862</v>
      </c>
      <c r="C20" s="188">
        <v>3</v>
      </c>
      <c r="D20" s="188">
        <v>0</v>
      </c>
      <c r="E20" s="188">
        <v>11257</v>
      </c>
      <c r="F20" s="188">
        <v>26</v>
      </c>
      <c r="G20" s="188">
        <v>8</v>
      </c>
      <c r="H20" s="188">
        <v>12119</v>
      </c>
      <c r="I20" s="188">
        <v>29</v>
      </c>
      <c r="J20" s="188">
        <v>8</v>
      </c>
      <c r="K20" s="188">
        <v>2154</v>
      </c>
      <c r="L20" s="188">
        <v>18271</v>
      </c>
      <c r="M20" s="188">
        <v>20425</v>
      </c>
      <c r="N20" s="188">
        <v>3</v>
      </c>
      <c r="O20" s="188">
        <v>4</v>
      </c>
      <c r="P20" s="188">
        <v>55</v>
      </c>
      <c r="Q20" s="188">
        <v>28</v>
      </c>
      <c r="R20" s="188">
        <v>58</v>
      </c>
      <c r="S20" s="188">
        <v>32</v>
      </c>
      <c r="T20" s="188">
        <v>0</v>
      </c>
      <c r="U20" s="188">
        <v>9</v>
      </c>
      <c r="V20" s="188">
        <v>9</v>
      </c>
      <c r="W20" s="189" t="s">
        <v>125</v>
      </c>
      <c r="X20" s="189" t="s">
        <v>125</v>
      </c>
      <c r="Y20" s="189" t="s">
        <v>125</v>
      </c>
      <c r="Z20" s="188">
        <v>12737</v>
      </c>
      <c r="AA20" s="188">
        <v>12737</v>
      </c>
      <c r="AB20" s="188">
        <v>0</v>
      </c>
      <c r="AC20" s="188">
        <v>2842478</v>
      </c>
      <c r="AD20" s="188">
        <v>4942</v>
      </c>
      <c r="AE20" s="190">
        <v>2847420</v>
      </c>
      <c r="AY20" s="192"/>
      <c r="AZ20" s="192"/>
    </row>
    <row r="21" spans="1:52" s="191" customFormat="1" ht="15" customHeight="1">
      <c r="A21" s="187" t="s">
        <v>137</v>
      </c>
      <c r="B21" s="188">
        <v>2205</v>
      </c>
      <c r="C21" s="188">
        <v>24</v>
      </c>
      <c r="D21" s="188">
        <v>1</v>
      </c>
      <c r="E21" s="188">
        <v>14573</v>
      </c>
      <c r="F21" s="188">
        <v>315</v>
      </c>
      <c r="G21" s="188">
        <v>57</v>
      </c>
      <c r="H21" s="188">
        <v>16778</v>
      </c>
      <c r="I21" s="188">
        <v>339</v>
      </c>
      <c r="J21" s="188">
        <v>58</v>
      </c>
      <c r="K21" s="188">
        <v>6254</v>
      </c>
      <c r="L21" s="188">
        <v>33994</v>
      </c>
      <c r="M21" s="188">
        <v>40248</v>
      </c>
      <c r="N21" s="188">
        <v>60</v>
      </c>
      <c r="O21" s="188">
        <v>24</v>
      </c>
      <c r="P21" s="188">
        <v>891</v>
      </c>
      <c r="Q21" s="188">
        <v>341</v>
      </c>
      <c r="R21" s="188">
        <v>951</v>
      </c>
      <c r="S21" s="188">
        <v>365</v>
      </c>
      <c r="T21" s="188">
        <v>1</v>
      </c>
      <c r="U21" s="188">
        <v>60</v>
      </c>
      <c r="V21" s="188">
        <v>61</v>
      </c>
      <c r="W21" s="189" t="s">
        <v>125</v>
      </c>
      <c r="X21" s="189" t="s">
        <v>125</v>
      </c>
      <c r="Y21" s="189" t="s">
        <v>125</v>
      </c>
      <c r="Z21" s="188">
        <v>18045</v>
      </c>
      <c r="AA21" s="188">
        <v>18045</v>
      </c>
      <c r="AB21" s="188">
        <v>0</v>
      </c>
      <c r="AC21" s="188">
        <v>5174972</v>
      </c>
      <c r="AD21" s="188">
        <v>43593</v>
      </c>
      <c r="AE21" s="190">
        <v>5218565</v>
      </c>
      <c r="AY21" s="192"/>
      <c r="AZ21" s="192"/>
    </row>
    <row r="22" spans="1:52" s="191" customFormat="1" ht="15" customHeight="1">
      <c r="A22" s="187" t="s">
        <v>138</v>
      </c>
      <c r="B22" s="188">
        <v>81</v>
      </c>
      <c r="C22" s="188">
        <v>0</v>
      </c>
      <c r="D22" s="188">
        <v>0</v>
      </c>
      <c r="E22" s="188">
        <v>929</v>
      </c>
      <c r="F22" s="188">
        <v>5</v>
      </c>
      <c r="G22" s="188">
        <v>3</v>
      </c>
      <c r="H22" s="188">
        <v>1010</v>
      </c>
      <c r="I22" s="188">
        <v>5</v>
      </c>
      <c r="J22" s="188">
        <v>3</v>
      </c>
      <c r="K22" s="188">
        <v>212</v>
      </c>
      <c r="L22" s="188">
        <v>1713</v>
      </c>
      <c r="M22" s="188">
        <v>1925</v>
      </c>
      <c r="N22" s="188">
        <v>0</v>
      </c>
      <c r="O22" s="188">
        <v>0</v>
      </c>
      <c r="P22" s="188">
        <v>9</v>
      </c>
      <c r="Q22" s="188">
        <v>5</v>
      </c>
      <c r="R22" s="188">
        <v>9</v>
      </c>
      <c r="S22" s="188">
        <v>5</v>
      </c>
      <c r="T22" s="188">
        <v>0</v>
      </c>
      <c r="U22" s="188">
        <v>3</v>
      </c>
      <c r="V22" s="188">
        <v>3</v>
      </c>
      <c r="W22" s="189" t="s">
        <v>125</v>
      </c>
      <c r="X22" s="189" t="s">
        <v>125</v>
      </c>
      <c r="Y22" s="189" t="s">
        <v>125</v>
      </c>
      <c r="Z22" s="188">
        <v>1063</v>
      </c>
      <c r="AA22" s="188">
        <v>1063</v>
      </c>
      <c r="AB22" s="188">
        <v>0</v>
      </c>
      <c r="AC22" s="188">
        <v>250723</v>
      </c>
      <c r="AD22" s="188">
        <v>793</v>
      </c>
      <c r="AE22" s="190">
        <v>251516</v>
      </c>
      <c r="AY22" s="192"/>
      <c r="AZ22" s="192"/>
    </row>
    <row r="23" spans="1:52" s="191" customFormat="1" ht="15" customHeight="1">
      <c r="A23" s="187" t="s">
        <v>139</v>
      </c>
      <c r="B23" s="188">
        <v>9455</v>
      </c>
      <c r="C23" s="188">
        <v>46</v>
      </c>
      <c r="D23" s="188">
        <v>3</v>
      </c>
      <c r="E23" s="188">
        <v>58817</v>
      </c>
      <c r="F23" s="188">
        <v>423</v>
      </c>
      <c r="G23" s="188">
        <v>268</v>
      </c>
      <c r="H23" s="188">
        <v>68272</v>
      </c>
      <c r="I23" s="188">
        <v>469</v>
      </c>
      <c r="J23" s="188">
        <v>271</v>
      </c>
      <c r="K23" s="188">
        <v>25292</v>
      </c>
      <c r="L23" s="188">
        <v>132537</v>
      </c>
      <c r="M23" s="188">
        <v>157829</v>
      </c>
      <c r="N23" s="188">
        <v>114</v>
      </c>
      <c r="O23" s="188">
        <v>52</v>
      </c>
      <c r="P23" s="188">
        <v>1199</v>
      </c>
      <c r="Q23" s="188">
        <v>472</v>
      </c>
      <c r="R23" s="188">
        <v>1313</v>
      </c>
      <c r="S23" s="188">
        <v>524</v>
      </c>
      <c r="T23" s="188">
        <v>3</v>
      </c>
      <c r="U23" s="188">
        <v>420</v>
      </c>
      <c r="V23" s="188">
        <v>423</v>
      </c>
      <c r="W23" s="189" t="s">
        <v>125</v>
      </c>
      <c r="X23" s="189" t="s">
        <v>125</v>
      </c>
      <c r="Y23" s="189" t="s">
        <v>125</v>
      </c>
      <c r="Z23" s="188">
        <v>72856</v>
      </c>
      <c r="AA23" s="188">
        <v>72856</v>
      </c>
      <c r="AB23" s="188">
        <v>0</v>
      </c>
      <c r="AC23" s="188">
        <v>20943617</v>
      </c>
      <c r="AD23" s="188">
        <v>121214</v>
      </c>
      <c r="AE23" s="190">
        <v>21064831</v>
      </c>
      <c r="AY23" s="192"/>
      <c r="AZ23" s="192"/>
    </row>
    <row r="24" spans="1:52" s="191" customFormat="1" ht="15" customHeight="1">
      <c r="A24" s="187" t="s">
        <v>140</v>
      </c>
      <c r="B24" s="188">
        <v>1455</v>
      </c>
      <c r="C24" s="188">
        <v>13</v>
      </c>
      <c r="D24" s="188">
        <v>0</v>
      </c>
      <c r="E24" s="188">
        <v>8996</v>
      </c>
      <c r="F24" s="188">
        <v>120</v>
      </c>
      <c r="G24" s="188">
        <v>26</v>
      </c>
      <c r="H24" s="188">
        <v>10451</v>
      </c>
      <c r="I24" s="188">
        <v>133</v>
      </c>
      <c r="J24" s="188">
        <v>26</v>
      </c>
      <c r="K24" s="188">
        <v>3966</v>
      </c>
      <c r="L24" s="188">
        <v>19431</v>
      </c>
      <c r="M24" s="188">
        <v>23397</v>
      </c>
      <c r="N24" s="188">
        <v>32</v>
      </c>
      <c r="O24" s="188">
        <v>13</v>
      </c>
      <c r="P24" s="188">
        <v>368</v>
      </c>
      <c r="Q24" s="188">
        <v>128</v>
      </c>
      <c r="R24" s="188">
        <v>400</v>
      </c>
      <c r="S24" s="188">
        <v>141</v>
      </c>
      <c r="T24" s="188">
        <v>0</v>
      </c>
      <c r="U24" s="188">
        <v>31</v>
      </c>
      <c r="V24" s="188">
        <v>31</v>
      </c>
      <c r="W24" s="189" t="s">
        <v>125</v>
      </c>
      <c r="X24" s="189" t="s">
        <v>125</v>
      </c>
      <c r="Y24" s="189" t="s">
        <v>125</v>
      </c>
      <c r="Z24" s="188">
        <v>11208</v>
      </c>
      <c r="AA24" s="188">
        <v>11208</v>
      </c>
      <c r="AB24" s="188">
        <v>0</v>
      </c>
      <c r="AC24" s="188">
        <v>3004222</v>
      </c>
      <c r="AD24" s="188">
        <v>17967</v>
      </c>
      <c r="AE24" s="190">
        <v>3022189</v>
      </c>
      <c r="AY24" s="192"/>
      <c r="AZ24" s="192"/>
    </row>
    <row r="25" spans="1:52" s="191" customFormat="1" ht="15" customHeight="1">
      <c r="A25" s="187" t="s">
        <v>141</v>
      </c>
      <c r="B25" s="188">
        <v>529</v>
      </c>
      <c r="C25" s="188">
        <v>3</v>
      </c>
      <c r="D25" s="188">
        <v>0</v>
      </c>
      <c r="E25" s="188">
        <v>5832</v>
      </c>
      <c r="F25" s="188">
        <v>21</v>
      </c>
      <c r="G25" s="188">
        <v>3</v>
      </c>
      <c r="H25" s="188">
        <v>6361</v>
      </c>
      <c r="I25" s="188">
        <v>24</v>
      </c>
      <c r="J25" s="188">
        <v>3</v>
      </c>
      <c r="K25" s="188">
        <v>1354</v>
      </c>
      <c r="L25" s="188">
        <v>10412</v>
      </c>
      <c r="M25" s="188">
        <v>11766</v>
      </c>
      <c r="N25" s="188">
        <v>6</v>
      </c>
      <c r="O25" s="188">
        <v>3</v>
      </c>
      <c r="P25" s="188">
        <v>50</v>
      </c>
      <c r="Q25" s="188">
        <v>24</v>
      </c>
      <c r="R25" s="188">
        <v>56</v>
      </c>
      <c r="S25" s="188">
        <v>27</v>
      </c>
      <c r="T25" s="188">
        <v>0</v>
      </c>
      <c r="U25" s="188">
        <v>5</v>
      </c>
      <c r="V25" s="188">
        <v>5</v>
      </c>
      <c r="W25" s="189" t="s">
        <v>125</v>
      </c>
      <c r="X25" s="189" t="s">
        <v>125</v>
      </c>
      <c r="Y25" s="189" t="s">
        <v>125</v>
      </c>
      <c r="Z25" s="188">
        <v>6733</v>
      </c>
      <c r="AA25" s="188">
        <v>6733</v>
      </c>
      <c r="AB25" s="188">
        <v>0</v>
      </c>
      <c r="AC25" s="188">
        <v>1583743</v>
      </c>
      <c r="AD25" s="188">
        <v>2877</v>
      </c>
      <c r="AE25" s="190">
        <v>1586620</v>
      </c>
      <c r="AY25" s="192"/>
      <c r="AZ25" s="192"/>
    </row>
    <row r="26" spans="1:52" s="191" customFormat="1" ht="15" customHeight="1">
      <c r="A26" s="187" t="s">
        <v>142</v>
      </c>
      <c r="B26" s="188">
        <v>221</v>
      </c>
      <c r="C26" s="188">
        <v>0</v>
      </c>
      <c r="D26" s="188">
        <v>0</v>
      </c>
      <c r="E26" s="188">
        <v>1375</v>
      </c>
      <c r="F26" s="188">
        <v>2</v>
      </c>
      <c r="G26" s="188">
        <v>0</v>
      </c>
      <c r="H26" s="188">
        <v>1596</v>
      </c>
      <c r="I26" s="188">
        <v>2</v>
      </c>
      <c r="J26" s="188">
        <v>0</v>
      </c>
      <c r="K26" s="188">
        <v>617</v>
      </c>
      <c r="L26" s="188">
        <v>2537</v>
      </c>
      <c r="M26" s="188">
        <v>3154</v>
      </c>
      <c r="N26" s="188">
        <v>0</v>
      </c>
      <c r="O26" s="188">
        <v>0</v>
      </c>
      <c r="P26" s="188">
        <v>5</v>
      </c>
      <c r="Q26" s="188">
        <v>3</v>
      </c>
      <c r="R26" s="188">
        <v>5</v>
      </c>
      <c r="S26" s="188">
        <v>3</v>
      </c>
      <c r="T26" s="188">
        <v>0</v>
      </c>
      <c r="U26" s="188">
        <v>0</v>
      </c>
      <c r="V26" s="188">
        <v>0</v>
      </c>
      <c r="W26" s="189" t="s">
        <v>125</v>
      </c>
      <c r="X26" s="189" t="s">
        <v>125</v>
      </c>
      <c r="Y26" s="189" t="s">
        <v>125</v>
      </c>
      <c r="Z26" s="188">
        <v>1714</v>
      </c>
      <c r="AA26" s="188">
        <v>1714</v>
      </c>
      <c r="AB26" s="188">
        <v>0</v>
      </c>
      <c r="AC26" s="188">
        <v>433225</v>
      </c>
      <c r="AD26" s="188">
        <v>722</v>
      </c>
      <c r="AE26" s="190">
        <v>433947</v>
      </c>
      <c r="AY26" s="192"/>
      <c r="AZ26" s="192"/>
    </row>
    <row r="27" spans="1:52" s="191" customFormat="1" ht="15" customHeight="1">
      <c r="A27" s="187" t="s">
        <v>143</v>
      </c>
      <c r="B27" s="188">
        <v>80579</v>
      </c>
      <c r="C27" s="188">
        <v>2203</v>
      </c>
      <c r="D27" s="188">
        <v>202</v>
      </c>
      <c r="E27" s="188">
        <v>440360</v>
      </c>
      <c r="F27" s="188">
        <v>5175</v>
      </c>
      <c r="G27" s="188">
        <v>3275</v>
      </c>
      <c r="H27" s="188">
        <v>520939</v>
      </c>
      <c r="I27" s="188">
        <v>7378</v>
      </c>
      <c r="J27" s="188">
        <v>3477</v>
      </c>
      <c r="K27" s="188">
        <v>196511</v>
      </c>
      <c r="L27" s="188">
        <v>841729</v>
      </c>
      <c r="M27" s="188">
        <v>1038240</v>
      </c>
      <c r="N27" s="188">
        <v>4657</v>
      </c>
      <c r="O27" s="188">
        <v>3060</v>
      </c>
      <c r="P27" s="188">
        <v>11994</v>
      </c>
      <c r="Q27" s="188">
        <v>6451</v>
      </c>
      <c r="R27" s="188">
        <v>16651</v>
      </c>
      <c r="S27" s="188">
        <v>9511</v>
      </c>
      <c r="T27" s="188">
        <v>254</v>
      </c>
      <c r="U27" s="188">
        <v>4185</v>
      </c>
      <c r="V27" s="188">
        <v>4439</v>
      </c>
      <c r="W27" s="189" t="s">
        <v>125</v>
      </c>
      <c r="X27" s="189" t="s">
        <v>125</v>
      </c>
      <c r="Y27" s="189" t="s">
        <v>125</v>
      </c>
      <c r="Z27" s="188">
        <v>566599</v>
      </c>
      <c r="AA27" s="188">
        <v>566599</v>
      </c>
      <c r="AB27" s="188">
        <v>0</v>
      </c>
      <c r="AC27" s="188">
        <v>151529990</v>
      </c>
      <c r="AD27" s="188">
        <v>1731187</v>
      </c>
      <c r="AE27" s="190">
        <v>153261177</v>
      </c>
      <c r="AY27" s="192"/>
      <c r="AZ27" s="192"/>
    </row>
    <row r="28" spans="1:52" s="191" customFormat="1" ht="15" customHeight="1">
      <c r="A28" s="187" t="s">
        <v>144</v>
      </c>
      <c r="B28" s="188">
        <v>1653</v>
      </c>
      <c r="C28" s="188">
        <v>15</v>
      </c>
      <c r="D28" s="188">
        <v>1</v>
      </c>
      <c r="E28" s="188">
        <v>9808</v>
      </c>
      <c r="F28" s="188">
        <v>62</v>
      </c>
      <c r="G28" s="188">
        <v>5</v>
      </c>
      <c r="H28" s="188">
        <v>11461</v>
      </c>
      <c r="I28" s="188">
        <v>77</v>
      </c>
      <c r="J28" s="188">
        <v>6</v>
      </c>
      <c r="K28" s="188">
        <v>4529</v>
      </c>
      <c r="L28" s="188">
        <v>23137</v>
      </c>
      <c r="M28" s="188">
        <v>27666</v>
      </c>
      <c r="N28" s="188">
        <v>37</v>
      </c>
      <c r="O28" s="188">
        <v>15</v>
      </c>
      <c r="P28" s="188">
        <v>183</v>
      </c>
      <c r="Q28" s="188">
        <v>67</v>
      </c>
      <c r="R28" s="188">
        <v>220</v>
      </c>
      <c r="S28" s="188">
        <v>82</v>
      </c>
      <c r="T28" s="188">
        <v>1</v>
      </c>
      <c r="U28" s="188">
        <v>13</v>
      </c>
      <c r="V28" s="188">
        <v>14</v>
      </c>
      <c r="W28" s="189" t="s">
        <v>125</v>
      </c>
      <c r="X28" s="189" t="s">
        <v>125</v>
      </c>
      <c r="Y28" s="189" t="s">
        <v>125</v>
      </c>
      <c r="Z28" s="188">
        <v>8780</v>
      </c>
      <c r="AA28" s="188">
        <v>8780</v>
      </c>
      <c r="AB28" s="188">
        <v>0</v>
      </c>
      <c r="AC28" s="188">
        <v>3666707</v>
      </c>
      <c r="AD28" s="188">
        <v>7318</v>
      </c>
      <c r="AE28" s="190">
        <v>3674025</v>
      </c>
      <c r="AY28" s="192"/>
      <c r="AZ28" s="192"/>
    </row>
    <row r="29" spans="1:52" s="191" customFormat="1" ht="15" customHeight="1">
      <c r="A29" s="187" t="s">
        <v>145</v>
      </c>
      <c r="B29" s="188">
        <v>521</v>
      </c>
      <c r="C29" s="188">
        <v>35</v>
      </c>
      <c r="D29" s="188">
        <v>2</v>
      </c>
      <c r="E29" s="188">
        <v>5080</v>
      </c>
      <c r="F29" s="188">
        <v>239</v>
      </c>
      <c r="G29" s="188">
        <v>65</v>
      </c>
      <c r="H29" s="188">
        <v>5601</v>
      </c>
      <c r="I29" s="188">
        <v>274</v>
      </c>
      <c r="J29" s="188">
        <v>67</v>
      </c>
      <c r="K29" s="188">
        <v>1157</v>
      </c>
      <c r="L29" s="188">
        <v>7696</v>
      </c>
      <c r="M29" s="188">
        <v>8853</v>
      </c>
      <c r="N29" s="188">
        <v>73</v>
      </c>
      <c r="O29" s="188">
        <v>40</v>
      </c>
      <c r="P29" s="188">
        <v>486</v>
      </c>
      <c r="Q29" s="188">
        <v>287</v>
      </c>
      <c r="R29" s="188">
        <v>559</v>
      </c>
      <c r="S29" s="188">
        <v>327</v>
      </c>
      <c r="T29" s="188">
        <v>2</v>
      </c>
      <c r="U29" s="188">
        <v>78</v>
      </c>
      <c r="V29" s="188">
        <v>80</v>
      </c>
      <c r="W29" s="189" t="s">
        <v>125</v>
      </c>
      <c r="X29" s="189" t="s">
        <v>125</v>
      </c>
      <c r="Y29" s="189" t="s">
        <v>125</v>
      </c>
      <c r="Z29" s="188">
        <v>6169</v>
      </c>
      <c r="AA29" s="188">
        <v>6169</v>
      </c>
      <c r="AB29" s="188">
        <v>0</v>
      </c>
      <c r="AC29" s="188">
        <v>1330783</v>
      </c>
      <c r="AD29" s="188">
        <v>33903</v>
      </c>
      <c r="AE29" s="190">
        <v>1364686</v>
      </c>
      <c r="AY29" s="192"/>
      <c r="AZ29" s="192"/>
    </row>
    <row r="30" spans="1:52" s="191" customFormat="1" ht="15" customHeight="1">
      <c r="A30" s="187" t="s">
        <v>146</v>
      </c>
      <c r="B30" s="188">
        <v>77</v>
      </c>
      <c r="C30" s="188">
        <v>1</v>
      </c>
      <c r="D30" s="188">
        <v>0</v>
      </c>
      <c r="E30" s="188">
        <v>945</v>
      </c>
      <c r="F30" s="188">
        <v>2</v>
      </c>
      <c r="G30" s="188">
        <v>1</v>
      </c>
      <c r="H30" s="188">
        <v>1022</v>
      </c>
      <c r="I30" s="188">
        <v>3</v>
      </c>
      <c r="J30" s="188">
        <v>1</v>
      </c>
      <c r="K30" s="188">
        <v>204</v>
      </c>
      <c r="L30" s="188">
        <v>1621</v>
      </c>
      <c r="M30" s="188">
        <v>1825</v>
      </c>
      <c r="N30" s="188">
        <v>1</v>
      </c>
      <c r="O30" s="188">
        <v>1</v>
      </c>
      <c r="P30" s="188">
        <v>5</v>
      </c>
      <c r="Q30" s="188">
        <v>2</v>
      </c>
      <c r="R30" s="188">
        <v>6</v>
      </c>
      <c r="S30" s="188">
        <v>3</v>
      </c>
      <c r="T30" s="188">
        <v>0</v>
      </c>
      <c r="U30" s="188">
        <v>1</v>
      </c>
      <c r="V30" s="188">
        <v>1</v>
      </c>
      <c r="W30" s="189" t="s">
        <v>125</v>
      </c>
      <c r="X30" s="189" t="s">
        <v>125</v>
      </c>
      <c r="Y30" s="189" t="s">
        <v>125</v>
      </c>
      <c r="Z30" s="188">
        <v>1096</v>
      </c>
      <c r="AA30" s="188">
        <v>1096</v>
      </c>
      <c r="AB30" s="188">
        <v>0</v>
      </c>
      <c r="AC30" s="188">
        <v>245217</v>
      </c>
      <c r="AD30" s="188">
        <v>383</v>
      </c>
      <c r="AE30" s="190">
        <v>245600</v>
      </c>
      <c r="AY30" s="192"/>
      <c r="AZ30" s="192"/>
    </row>
    <row r="31" spans="1:52" s="191" customFormat="1" ht="15" customHeight="1">
      <c r="A31" s="187" t="s">
        <v>147</v>
      </c>
      <c r="B31" s="188">
        <v>520</v>
      </c>
      <c r="C31" s="188">
        <v>3</v>
      </c>
      <c r="D31" s="188">
        <v>0</v>
      </c>
      <c r="E31" s="188">
        <v>5755</v>
      </c>
      <c r="F31" s="188">
        <v>38</v>
      </c>
      <c r="G31" s="188">
        <v>13</v>
      </c>
      <c r="H31" s="188">
        <v>6275</v>
      </c>
      <c r="I31" s="188">
        <v>41</v>
      </c>
      <c r="J31" s="188">
        <v>13</v>
      </c>
      <c r="K31" s="188">
        <v>1298</v>
      </c>
      <c r="L31" s="188">
        <v>10317</v>
      </c>
      <c r="M31" s="188">
        <v>11615</v>
      </c>
      <c r="N31" s="188">
        <v>10</v>
      </c>
      <c r="O31" s="188">
        <v>3</v>
      </c>
      <c r="P31" s="188">
        <v>90</v>
      </c>
      <c r="Q31" s="188">
        <v>44</v>
      </c>
      <c r="R31" s="188">
        <v>100</v>
      </c>
      <c r="S31" s="188">
        <v>47</v>
      </c>
      <c r="T31" s="188">
        <v>0</v>
      </c>
      <c r="U31" s="188">
        <v>15</v>
      </c>
      <c r="V31" s="188">
        <v>15</v>
      </c>
      <c r="W31" s="189" t="s">
        <v>125</v>
      </c>
      <c r="X31" s="189" t="s">
        <v>125</v>
      </c>
      <c r="Y31" s="189" t="s">
        <v>125</v>
      </c>
      <c r="Z31" s="188">
        <v>6632</v>
      </c>
      <c r="AA31" s="188">
        <v>6632</v>
      </c>
      <c r="AB31" s="188">
        <v>0</v>
      </c>
      <c r="AC31" s="188">
        <v>1633060</v>
      </c>
      <c r="AD31" s="188">
        <v>6825</v>
      </c>
      <c r="AE31" s="190">
        <v>1639885</v>
      </c>
      <c r="AY31" s="192"/>
      <c r="AZ31" s="192"/>
    </row>
    <row r="32" spans="1:52" s="191" customFormat="1" ht="15" customHeight="1">
      <c r="A32" s="187" t="s">
        <v>148</v>
      </c>
      <c r="B32" s="188">
        <v>3498</v>
      </c>
      <c r="C32" s="188">
        <v>20</v>
      </c>
      <c r="D32" s="188">
        <v>1</v>
      </c>
      <c r="E32" s="188">
        <v>20051</v>
      </c>
      <c r="F32" s="188">
        <v>75</v>
      </c>
      <c r="G32" s="188">
        <v>15</v>
      </c>
      <c r="H32" s="188">
        <v>23549</v>
      </c>
      <c r="I32" s="188">
        <v>95</v>
      </c>
      <c r="J32" s="188">
        <v>16</v>
      </c>
      <c r="K32" s="188">
        <v>9451</v>
      </c>
      <c r="L32" s="188">
        <v>44906</v>
      </c>
      <c r="M32" s="188">
        <v>54357</v>
      </c>
      <c r="N32" s="188">
        <v>54</v>
      </c>
      <c r="O32" s="188">
        <v>20</v>
      </c>
      <c r="P32" s="188">
        <v>217</v>
      </c>
      <c r="Q32" s="188">
        <v>83</v>
      </c>
      <c r="R32" s="188">
        <v>271</v>
      </c>
      <c r="S32" s="188">
        <v>103</v>
      </c>
      <c r="T32" s="188">
        <v>1</v>
      </c>
      <c r="U32" s="188">
        <v>16</v>
      </c>
      <c r="V32" s="188">
        <v>17</v>
      </c>
      <c r="W32" s="189" t="s">
        <v>125</v>
      </c>
      <c r="X32" s="189" t="s">
        <v>125</v>
      </c>
      <c r="Y32" s="189" t="s">
        <v>125</v>
      </c>
      <c r="Z32" s="188">
        <v>24611</v>
      </c>
      <c r="AA32" s="188">
        <v>24611</v>
      </c>
      <c r="AB32" s="188">
        <v>0</v>
      </c>
      <c r="AC32" s="188">
        <v>7102160</v>
      </c>
      <c r="AD32" s="188">
        <v>11229</v>
      </c>
      <c r="AE32" s="190">
        <v>7113389</v>
      </c>
      <c r="AY32" s="192"/>
      <c r="AZ32" s="192"/>
    </row>
    <row r="33" spans="1:52" s="191" customFormat="1" ht="15" customHeight="1">
      <c r="A33" s="187" t="s">
        <v>149</v>
      </c>
      <c r="B33" s="188">
        <v>76</v>
      </c>
      <c r="C33" s="188">
        <v>1</v>
      </c>
      <c r="D33" s="188">
        <v>0</v>
      </c>
      <c r="E33" s="188">
        <v>459</v>
      </c>
      <c r="F33" s="188">
        <v>0</v>
      </c>
      <c r="G33" s="188">
        <v>1</v>
      </c>
      <c r="H33" s="188">
        <v>535</v>
      </c>
      <c r="I33" s="188">
        <v>1</v>
      </c>
      <c r="J33" s="188">
        <v>1</v>
      </c>
      <c r="K33" s="188">
        <v>199</v>
      </c>
      <c r="L33" s="188">
        <v>934</v>
      </c>
      <c r="M33" s="188">
        <v>1133</v>
      </c>
      <c r="N33" s="188">
        <v>1</v>
      </c>
      <c r="O33" s="188">
        <v>1</v>
      </c>
      <c r="P33" s="188">
        <v>0</v>
      </c>
      <c r="Q33" s="188">
        <v>0</v>
      </c>
      <c r="R33" s="188">
        <v>1</v>
      </c>
      <c r="S33" s="188">
        <v>1</v>
      </c>
      <c r="T33" s="188">
        <v>0</v>
      </c>
      <c r="U33" s="188">
        <v>2</v>
      </c>
      <c r="V33" s="188">
        <v>2</v>
      </c>
      <c r="W33" s="189" t="s">
        <v>125</v>
      </c>
      <c r="X33" s="189" t="s">
        <v>125</v>
      </c>
      <c r="Y33" s="189" t="s">
        <v>125</v>
      </c>
      <c r="Z33" s="188">
        <v>568</v>
      </c>
      <c r="AA33" s="188">
        <v>568</v>
      </c>
      <c r="AB33" s="188">
        <v>0</v>
      </c>
      <c r="AC33" s="188">
        <v>152668</v>
      </c>
      <c r="AD33" s="188">
        <v>493</v>
      </c>
      <c r="AE33" s="190">
        <v>153161</v>
      </c>
      <c r="AY33" s="192"/>
      <c r="AZ33" s="192"/>
    </row>
    <row r="34" spans="1:52" s="191" customFormat="1" ht="15" customHeight="1">
      <c r="A34" s="187" t="s">
        <v>150</v>
      </c>
      <c r="B34" s="188">
        <v>9</v>
      </c>
      <c r="C34" s="188">
        <v>0</v>
      </c>
      <c r="D34" s="188">
        <v>0</v>
      </c>
      <c r="E34" s="188">
        <v>387</v>
      </c>
      <c r="F34" s="188">
        <v>3</v>
      </c>
      <c r="G34" s="188">
        <v>0</v>
      </c>
      <c r="H34" s="188">
        <v>396</v>
      </c>
      <c r="I34" s="188">
        <v>3</v>
      </c>
      <c r="J34" s="188">
        <v>0</v>
      </c>
      <c r="K34" s="188">
        <v>21</v>
      </c>
      <c r="L34" s="188">
        <v>647</v>
      </c>
      <c r="M34" s="188">
        <v>668</v>
      </c>
      <c r="N34" s="188">
        <v>0</v>
      </c>
      <c r="O34" s="188">
        <v>0</v>
      </c>
      <c r="P34" s="188">
        <v>8</v>
      </c>
      <c r="Q34" s="188">
        <v>3</v>
      </c>
      <c r="R34" s="188">
        <v>8</v>
      </c>
      <c r="S34" s="188">
        <v>3</v>
      </c>
      <c r="T34" s="188">
        <v>0</v>
      </c>
      <c r="U34" s="188">
        <v>0</v>
      </c>
      <c r="V34" s="188">
        <v>0</v>
      </c>
      <c r="W34" s="189" t="s">
        <v>125</v>
      </c>
      <c r="X34" s="189" t="s">
        <v>125</v>
      </c>
      <c r="Y34" s="189" t="s">
        <v>125</v>
      </c>
      <c r="Z34" s="188">
        <v>434</v>
      </c>
      <c r="AA34" s="188">
        <v>434</v>
      </c>
      <c r="AB34" s="188">
        <v>0</v>
      </c>
      <c r="AC34" s="188">
        <v>95714</v>
      </c>
      <c r="AD34" s="188">
        <v>317</v>
      </c>
      <c r="AE34" s="190">
        <v>96031</v>
      </c>
      <c r="AY34" s="192"/>
      <c r="AZ34" s="192"/>
    </row>
    <row r="35" spans="1:52" s="191" customFormat="1" ht="15" customHeight="1">
      <c r="A35" s="187" t="s">
        <v>151</v>
      </c>
      <c r="B35" s="188">
        <v>2316</v>
      </c>
      <c r="C35" s="188">
        <v>23</v>
      </c>
      <c r="D35" s="188">
        <v>0</v>
      </c>
      <c r="E35" s="188">
        <v>18512</v>
      </c>
      <c r="F35" s="188">
        <v>190</v>
      </c>
      <c r="G35" s="188">
        <v>32</v>
      </c>
      <c r="H35" s="188">
        <v>20828</v>
      </c>
      <c r="I35" s="188">
        <v>213</v>
      </c>
      <c r="J35" s="188">
        <v>32</v>
      </c>
      <c r="K35" s="188">
        <v>5962</v>
      </c>
      <c r="L35" s="188">
        <v>39616</v>
      </c>
      <c r="M35" s="188">
        <v>45578</v>
      </c>
      <c r="N35" s="188">
        <v>56</v>
      </c>
      <c r="O35" s="188">
        <v>25</v>
      </c>
      <c r="P35" s="188">
        <v>521</v>
      </c>
      <c r="Q35" s="188">
        <v>213</v>
      </c>
      <c r="R35" s="188">
        <v>577</v>
      </c>
      <c r="S35" s="188">
        <v>238</v>
      </c>
      <c r="T35" s="188">
        <v>0</v>
      </c>
      <c r="U35" s="188">
        <v>46</v>
      </c>
      <c r="V35" s="188">
        <v>46</v>
      </c>
      <c r="W35" s="189" t="s">
        <v>125</v>
      </c>
      <c r="X35" s="189" t="s">
        <v>125</v>
      </c>
      <c r="Y35" s="189" t="s">
        <v>125</v>
      </c>
      <c r="Z35" s="188">
        <v>22188</v>
      </c>
      <c r="AA35" s="188">
        <v>22188</v>
      </c>
      <c r="AB35" s="188">
        <v>0</v>
      </c>
      <c r="AC35" s="188">
        <v>6011169</v>
      </c>
      <c r="AD35" s="188">
        <v>25212</v>
      </c>
      <c r="AE35" s="190">
        <v>6036381</v>
      </c>
      <c r="AY35" s="192"/>
      <c r="AZ35" s="192"/>
    </row>
    <row r="36" spans="1:52" s="191" customFormat="1" ht="15" customHeight="1">
      <c r="A36" s="187" t="s">
        <v>152</v>
      </c>
      <c r="B36" s="188">
        <v>282</v>
      </c>
      <c r="C36" s="188">
        <v>5</v>
      </c>
      <c r="D36" s="188">
        <v>0</v>
      </c>
      <c r="E36" s="188">
        <v>2878</v>
      </c>
      <c r="F36" s="188">
        <v>50</v>
      </c>
      <c r="G36" s="188">
        <v>7</v>
      </c>
      <c r="H36" s="188">
        <v>3160</v>
      </c>
      <c r="I36" s="188">
        <v>55</v>
      </c>
      <c r="J36" s="188">
        <v>7</v>
      </c>
      <c r="K36" s="188">
        <v>666</v>
      </c>
      <c r="L36" s="188">
        <v>5534</v>
      </c>
      <c r="M36" s="188">
        <v>6200</v>
      </c>
      <c r="N36" s="188">
        <v>13</v>
      </c>
      <c r="O36" s="188">
        <v>6</v>
      </c>
      <c r="P36" s="188">
        <v>113</v>
      </c>
      <c r="Q36" s="188">
        <v>58</v>
      </c>
      <c r="R36" s="188">
        <v>126</v>
      </c>
      <c r="S36" s="188">
        <v>64</v>
      </c>
      <c r="T36" s="188">
        <v>0</v>
      </c>
      <c r="U36" s="188">
        <v>8</v>
      </c>
      <c r="V36" s="188">
        <v>8</v>
      </c>
      <c r="W36" s="189" t="s">
        <v>125</v>
      </c>
      <c r="X36" s="189" t="s">
        <v>125</v>
      </c>
      <c r="Y36" s="189" t="s">
        <v>125</v>
      </c>
      <c r="Z36" s="188">
        <v>3370</v>
      </c>
      <c r="AA36" s="188">
        <v>3370</v>
      </c>
      <c r="AB36" s="188">
        <v>0</v>
      </c>
      <c r="AC36" s="188">
        <v>783892</v>
      </c>
      <c r="AD36" s="188">
        <v>4299</v>
      </c>
      <c r="AE36" s="190">
        <v>788191</v>
      </c>
      <c r="AY36" s="192"/>
      <c r="AZ36" s="192"/>
    </row>
    <row r="37" spans="1:52" s="191" customFormat="1" ht="15" customHeight="1">
      <c r="A37" s="187" t="s">
        <v>153</v>
      </c>
      <c r="B37" s="188">
        <v>250</v>
      </c>
      <c r="C37" s="188">
        <v>1</v>
      </c>
      <c r="D37" s="188">
        <v>0</v>
      </c>
      <c r="E37" s="188">
        <v>3885</v>
      </c>
      <c r="F37" s="188">
        <v>11</v>
      </c>
      <c r="G37" s="188">
        <v>1</v>
      </c>
      <c r="H37" s="188">
        <v>4135</v>
      </c>
      <c r="I37" s="188">
        <v>12</v>
      </c>
      <c r="J37" s="188">
        <v>1</v>
      </c>
      <c r="K37" s="188">
        <v>635</v>
      </c>
      <c r="L37" s="188">
        <v>6444</v>
      </c>
      <c r="M37" s="188">
        <v>7079</v>
      </c>
      <c r="N37" s="188">
        <v>2</v>
      </c>
      <c r="O37" s="188">
        <v>1</v>
      </c>
      <c r="P37" s="188">
        <v>25</v>
      </c>
      <c r="Q37" s="188">
        <v>11</v>
      </c>
      <c r="R37" s="188">
        <v>27</v>
      </c>
      <c r="S37" s="188">
        <v>12</v>
      </c>
      <c r="T37" s="188">
        <v>0</v>
      </c>
      <c r="U37" s="188">
        <v>1</v>
      </c>
      <c r="V37" s="188">
        <v>1</v>
      </c>
      <c r="W37" s="189" t="s">
        <v>125</v>
      </c>
      <c r="X37" s="189" t="s">
        <v>125</v>
      </c>
      <c r="Y37" s="189" t="s">
        <v>125</v>
      </c>
      <c r="Z37" s="188">
        <v>4363</v>
      </c>
      <c r="AA37" s="188">
        <v>4363</v>
      </c>
      <c r="AB37" s="188">
        <v>0</v>
      </c>
      <c r="AC37" s="188">
        <v>974623</v>
      </c>
      <c r="AD37" s="188">
        <v>1024</v>
      </c>
      <c r="AE37" s="190">
        <v>975647</v>
      </c>
      <c r="AY37" s="192"/>
      <c r="AZ37" s="192"/>
    </row>
    <row r="38" spans="1:52" s="191" customFormat="1" ht="15" customHeight="1">
      <c r="A38" s="187" t="s">
        <v>154</v>
      </c>
      <c r="B38" s="188">
        <v>9497</v>
      </c>
      <c r="C38" s="188">
        <v>197</v>
      </c>
      <c r="D38" s="188">
        <v>3</v>
      </c>
      <c r="E38" s="188">
        <v>103232</v>
      </c>
      <c r="F38" s="188">
        <v>2014</v>
      </c>
      <c r="G38" s="188">
        <v>1094</v>
      </c>
      <c r="H38" s="188">
        <v>112729</v>
      </c>
      <c r="I38" s="188">
        <v>2211</v>
      </c>
      <c r="J38" s="188">
        <v>1097</v>
      </c>
      <c r="K38" s="188">
        <v>24446</v>
      </c>
      <c r="L38" s="188">
        <v>201423</v>
      </c>
      <c r="M38" s="188">
        <v>225869</v>
      </c>
      <c r="N38" s="188">
        <v>434</v>
      </c>
      <c r="O38" s="188">
        <v>279</v>
      </c>
      <c r="P38" s="188">
        <v>4339</v>
      </c>
      <c r="Q38" s="188">
        <v>2578</v>
      </c>
      <c r="R38" s="188">
        <v>4773</v>
      </c>
      <c r="S38" s="188">
        <v>2857</v>
      </c>
      <c r="T38" s="188">
        <v>5</v>
      </c>
      <c r="U38" s="188">
        <v>1458</v>
      </c>
      <c r="V38" s="188">
        <v>1463</v>
      </c>
      <c r="W38" s="189" t="s">
        <v>125</v>
      </c>
      <c r="X38" s="189" t="s">
        <v>125</v>
      </c>
      <c r="Y38" s="189" t="s">
        <v>125</v>
      </c>
      <c r="Z38" s="188">
        <v>121454</v>
      </c>
      <c r="AA38" s="188">
        <v>121454</v>
      </c>
      <c r="AB38" s="188">
        <v>0</v>
      </c>
      <c r="AC38" s="188">
        <v>30987678</v>
      </c>
      <c r="AD38" s="188">
        <v>487871</v>
      </c>
      <c r="AE38" s="190">
        <v>31475549</v>
      </c>
      <c r="AY38" s="192"/>
      <c r="AZ38" s="192"/>
    </row>
    <row r="39" spans="1:52" s="191" customFormat="1" ht="15" customHeight="1">
      <c r="A39" s="187" t="s">
        <v>155</v>
      </c>
      <c r="B39" s="188">
        <v>625</v>
      </c>
      <c r="C39" s="188">
        <v>10</v>
      </c>
      <c r="D39" s="188">
        <v>2</v>
      </c>
      <c r="E39" s="188">
        <v>8020</v>
      </c>
      <c r="F39" s="188">
        <v>34</v>
      </c>
      <c r="G39" s="188">
        <v>35</v>
      </c>
      <c r="H39" s="188">
        <v>8645</v>
      </c>
      <c r="I39" s="188">
        <v>44</v>
      </c>
      <c r="J39" s="188">
        <v>37</v>
      </c>
      <c r="K39" s="188">
        <v>1582</v>
      </c>
      <c r="L39" s="188">
        <v>14378</v>
      </c>
      <c r="M39" s="188">
        <v>15960</v>
      </c>
      <c r="N39" s="188">
        <v>15</v>
      </c>
      <c r="O39" s="188">
        <v>13</v>
      </c>
      <c r="P39" s="188">
        <v>82</v>
      </c>
      <c r="Q39" s="188">
        <v>38</v>
      </c>
      <c r="R39" s="188">
        <v>97</v>
      </c>
      <c r="S39" s="188">
        <v>51</v>
      </c>
      <c r="T39" s="188">
        <v>7</v>
      </c>
      <c r="U39" s="188">
        <v>49</v>
      </c>
      <c r="V39" s="188">
        <v>56</v>
      </c>
      <c r="W39" s="189" t="s">
        <v>125</v>
      </c>
      <c r="X39" s="189" t="s">
        <v>125</v>
      </c>
      <c r="Y39" s="189" t="s">
        <v>125</v>
      </c>
      <c r="Z39" s="188">
        <v>9147</v>
      </c>
      <c r="AA39" s="188">
        <v>9147</v>
      </c>
      <c r="AB39" s="188">
        <v>0</v>
      </c>
      <c r="AC39" s="188">
        <v>2047482</v>
      </c>
      <c r="AD39" s="188">
        <v>13577</v>
      </c>
      <c r="AE39" s="190">
        <v>2061059</v>
      </c>
      <c r="AY39" s="192"/>
      <c r="AZ39" s="192"/>
    </row>
    <row r="40" spans="1:52" s="191" customFormat="1" ht="15" customHeight="1">
      <c r="A40" s="187" t="s">
        <v>156</v>
      </c>
      <c r="B40" s="188">
        <v>80</v>
      </c>
      <c r="C40" s="188">
        <v>0</v>
      </c>
      <c r="D40" s="188">
        <v>0</v>
      </c>
      <c r="E40" s="188">
        <v>1054</v>
      </c>
      <c r="F40" s="188">
        <v>1</v>
      </c>
      <c r="G40" s="188">
        <v>0</v>
      </c>
      <c r="H40" s="188">
        <v>1134</v>
      </c>
      <c r="I40" s="188">
        <v>1</v>
      </c>
      <c r="J40" s="188">
        <v>0</v>
      </c>
      <c r="K40" s="188">
        <v>201</v>
      </c>
      <c r="L40" s="188">
        <v>1867</v>
      </c>
      <c r="M40" s="188">
        <v>2068</v>
      </c>
      <c r="N40" s="188">
        <v>0</v>
      </c>
      <c r="O40" s="188">
        <v>0</v>
      </c>
      <c r="P40" s="188">
        <v>3</v>
      </c>
      <c r="Q40" s="188">
        <v>0</v>
      </c>
      <c r="R40" s="188">
        <v>3</v>
      </c>
      <c r="S40" s="188">
        <v>0</v>
      </c>
      <c r="T40" s="188">
        <v>0</v>
      </c>
      <c r="U40" s="188">
        <v>0</v>
      </c>
      <c r="V40" s="188">
        <v>0</v>
      </c>
      <c r="W40" s="189" t="s">
        <v>125</v>
      </c>
      <c r="X40" s="189" t="s">
        <v>125</v>
      </c>
      <c r="Y40" s="189" t="s">
        <v>125</v>
      </c>
      <c r="Z40" s="188">
        <v>1174</v>
      </c>
      <c r="AA40" s="188">
        <v>1174</v>
      </c>
      <c r="AB40" s="188">
        <v>0</v>
      </c>
      <c r="AC40" s="188">
        <v>276439</v>
      </c>
      <c r="AD40" s="188">
        <v>0</v>
      </c>
      <c r="AE40" s="190">
        <v>276439</v>
      </c>
      <c r="AY40" s="192"/>
      <c r="AZ40" s="192"/>
    </row>
    <row r="41" spans="1:52" s="191" customFormat="1" ht="15" customHeight="1">
      <c r="A41" s="187" t="s">
        <v>157</v>
      </c>
      <c r="B41" s="188">
        <v>14192</v>
      </c>
      <c r="C41" s="188">
        <v>103</v>
      </c>
      <c r="D41" s="188">
        <v>4</v>
      </c>
      <c r="E41" s="188">
        <v>107078</v>
      </c>
      <c r="F41" s="188">
        <v>738</v>
      </c>
      <c r="G41" s="188">
        <v>160</v>
      </c>
      <c r="H41" s="188">
        <v>121270</v>
      </c>
      <c r="I41" s="188">
        <v>841</v>
      </c>
      <c r="J41" s="188">
        <v>164</v>
      </c>
      <c r="K41" s="188">
        <v>38434</v>
      </c>
      <c r="L41" s="188">
        <v>227920</v>
      </c>
      <c r="M41" s="188">
        <v>266354</v>
      </c>
      <c r="N41" s="188">
        <v>283</v>
      </c>
      <c r="O41" s="188">
        <v>126</v>
      </c>
      <c r="P41" s="188">
        <v>2055</v>
      </c>
      <c r="Q41" s="188">
        <v>840</v>
      </c>
      <c r="R41" s="188">
        <v>2338</v>
      </c>
      <c r="S41" s="188">
        <v>966</v>
      </c>
      <c r="T41" s="188">
        <v>4</v>
      </c>
      <c r="U41" s="188">
        <v>211</v>
      </c>
      <c r="V41" s="188">
        <v>215</v>
      </c>
      <c r="W41" s="189" t="s">
        <v>125</v>
      </c>
      <c r="X41" s="189" t="s">
        <v>125</v>
      </c>
      <c r="Y41" s="189" t="s">
        <v>125</v>
      </c>
      <c r="Z41" s="188">
        <v>127755</v>
      </c>
      <c r="AA41" s="188">
        <v>127755</v>
      </c>
      <c r="AB41" s="188">
        <v>0</v>
      </c>
      <c r="AC41" s="188">
        <v>35388609</v>
      </c>
      <c r="AD41" s="188">
        <v>116615</v>
      </c>
      <c r="AE41" s="190">
        <v>35505224</v>
      </c>
      <c r="AY41" s="192"/>
      <c r="AZ41" s="192"/>
    </row>
    <row r="42" spans="1:52" s="191" customFormat="1" ht="15" customHeight="1">
      <c r="A42" s="187" t="s">
        <v>158</v>
      </c>
      <c r="B42" s="188">
        <v>13708</v>
      </c>
      <c r="C42" s="188">
        <v>566</v>
      </c>
      <c r="D42" s="188">
        <v>6</v>
      </c>
      <c r="E42" s="188">
        <v>82609</v>
      </c>
      <c r="F42" s="188">
        <v>1139</v>
      </c>
      <c r="G42" s="188">
        <v>554</v>
      </c>
      <c r="H42" s="188">
        <v>96317</v>
      </c>
      <c r="I42" s="188">
        <v>1705</v>
      </c>
      <c r="J42" s="188">
        <v>560</v>
      </c>
      <c r="K42" s="188">
        <v>36106</v>
      </c>
      <c r="L42" s="188">
        <v>162870</v>
      </c>
      <c r="M42" s="188">
        <v>198976</v>
      </c>
      <c r="N42" s="188">
        <v>1398</v>
      </c>
      <c r="O42" s="188">
        <v>944</v>
      </c>
      <c r="P42" s="188">
        <v>2667</v>
      </c>
      <c r="Q42" s="188">
        <v>1675</v>
      </c>
      <c r="R42" s="188">
        <v>4065</v>
      </c>
      <c r="S42" s="188">
        <v>2619</v>
      </c>
      <c r="T42" s="188">
        <v>9</v>
      </c>
      <c r="U42" s="188">
        <v>725</v>
      </c>
      <c r="V42" s="188">
        <v>734</v>
      </c>
      <c r="W42" s="189" t="s">
        <v>125</v>
      </c>
      <c r="X42" s="189" t="s">
        <v>125</v>
      </c>
      <c r="Y42" s="189" t="s">
        <v>125</v>
      </c>
      <c r="Z42" s="188">
        <v>112692</v>
      </c>
      <c r="AA42" s="188">
        <v>112692</v>
      </c>
      <c r="AB42" s="188">
        <v>0</v>
      </c>
      <c r="AC42" s="188">
        <v>28594136</v>
      </c>
      <c r="AD42" s="188">
        <v>383120</v>
      </c>
      <c r="AE42" s="190">
        <v>28977256</v>
      </c>
      <c r="AY42" s="192"/>
      <c r="AZ42" s="192"/>
    </row>
    <row r="43" spans="1:52" s="191" customFormat="1" ht="15" customHeight="1">
      <c r="A43" s="187" t="s">
        <v>159</v>
      </c>
      <c r="B43" s="188">
        <v>243</v>
      </c>
      <c r="C43" s="188">
        <v>1</v>
      </c>
      <c r="D43" s="188">
        <v>0</v>
      </c>
      <c r="E43" s="188">
        <v>1979</v>
      </c>
      <c r="F43" s="188">
        <v>20</v>
      </c>
      <c r="G43" s="188">
        <v>1</v>
      </c>
      <c r="H43" s="188">
        <v>2222</v>
      </c>
      <c r="I43" s="188">
        <v>21</v>
      </c>
      <c r="J43" s="188">
        <v>1</v>
      </c>
      <c r="K43" s="188">
        <v>638</v>
      </c>
      <c r="L43" s="188">
        <v>4295</v>
      </c>
      <c r="M43" s="188">
        <v>4933</v>
      </c>
      <c r="N43" s="188">
        <v>5</v>
      </c>
      <c r="O43" s="188">
        <v>1</v>
      </c>
      <c r="P43" s="188">
        <v>58</v>
      </c>
      <c r="Q43" s="188">
        <v>23</v>
      </c>
      <c r="R43" s="188">
        <v>63</v>
      </c>
      <c r="S43" s="188">
        <v>24</v>
      </c>
      <c r="T43" s="188">
        <v>0</v>
      </c>
      <c r="U43" s="188">
        <v>1</v>
      </c>
      <c r="V43" s="188">
        <v>1</v>
      </c>
      <c r="W43" s="189" t="s">
        <v>125</v>
      </c>
      <c r="X43" s="189" t="s">
        <v>125</v>
      </c>
      <c r="Y43" s="189" t="s">
        <v>125</v>
      </c>
      <c r="Z43" s="188">
        <v>2326</v>
      </c>
      <c r="AA43" s="188">
        <v>2326</v>
      </c>
      <c r="AB43" s="188">
        <v>0</v>
      </c>
      <c r="AC43" s="188">
        <v>642589</v>
      </c>
      <c r="AD43" s="188">
        <v>1530</v>
      </c>
      <c r="AE43" s="190">
        <v>644119</v>
      </c>
      <c r="AY43" s="192"/>
      <c r="AZ43" s="192"/>
    </row>
    <row r="44" spans="1:52" s="191" customFormat="1" ht="15" customHeight="1">
      <c r="A44" s="187" t="s">
        <v>160</v>
      </c>
      <c r="B44" s="188">
        <v>22813</v>
      </c>
      <c r="C44" s="188">
        <v>139</v>
      </c>
      <c r="D44" s="188">
        <v>7</v>
      </c>
      <c r="E44" s="188">
        <v>142520</v>
      </c>
      <c r="F44" s="188">
        <v>899</v>
      </c>
      <c r="G44" s="188">
        <v>316</v>
      </c>
      <c r="H44" s="188">
        <v>165333</v>
      </c>
      <c r="I44" s="188">
        <v>1038</v>
      </c>
      <c r="J44" s="188">
        <v>323</v>
      </c>
      <c r="K44" s="188">
        <v>60194</v>
      </c>
      <c r="L44" s="188">
        <v>298563</v>
      </c>
      <c r="M44" s="188">
        <v>358757</v>
      </c>
      <c r="N44" s="188">
        <v>352</v>
      </c>
      <c r="O44" s="188">
        <v>159</v>
      </c>
      <c r="P44" s="188">
        <v>2382</v>
      </c>
      <c r="Q44" s="188">
        <v>1042</v>
      </c>
      <c r="R44" s="188">
        <v>2734</v>
      </c>
      <c r="S44" s="188">
        <v>1201</v>
      </c>
      <c r="T44" s="188">
        <v>9</v>
      </c>
      <c r="U44" s="188">
        <v>437</v>
      </c>
      <c r="V44" s="188">
        <v>446</v>
      </c>
      <c r="W44" s="189" t="s">
        <v>125</v>
      </c>
      <c r="X44" s="189" t="s">
        <v>125</v>
      </c>
      <c r="Y44" s="189" t="s">
        <v>125</v>
      </c>
      <c r="Z44" s="188">
        <v>174751</v>
      </c>
      <c r="AA44" s="188">
        <v>174751</v>
      </c>
      <c r="AB44" s="188">
        <v>0</v>
      </c>
      <c r="AC44" s="188">
        <v>48848580</v>
      </c>
      <c r="AD44" s="188">
        <v>172660</v>
      </c>
      <c r="AE44" s="190">
        <v>49021240</v>
      </c>
      <c r="AY44" s="192"/>
      <c r="AZ44" s="192"/>
    </row>
    <row r="45" spans="1:52" s="191" customFormat="1" ht="15" customHeight="1">
      <c r="A45" s="187" t="s">
        <v>161</v>
      </c>
      <c r="B45" s="188">
        <v>11849</v>
      </c>
      <c r="C45" s="188">
        <v>312</v>
      </c>
      <c r="D45" s="188">
        <v>10</v>
      </c>
      <c r="E45" s="188">
        <v>118756</v>
      </c>
      <c r="F45" s="188">
        <v>1666</v>
      </c>
      <c r="G45" s="188">
        <v>711</v>
      </c>
      <c r="H45" s="188">
        <v>130605</v>
      </c>
      <c r="I45" s="188">
        <v>1978</v>
      </c>
      <c r="J45" s="188">
        <v>721</v>
      </c>
      <c r="K45" s="188">
        <v>32600</v>
      </c>
      <c r="L45" s="188">
        <v>227204</v>
      </c>
      <c r="M45" s="188">
        <v>259804</v>
      </c>
      <c r="N45" s="188">
        <v>688</v>
      </c>
      <c r="O45" s="188">
        <v>406</v>
      </c>
      <c r="P45" s="188">
        <v>3922</v>
      </c>
      <c r="Q45" s="188">
        <v>1946</v>
      </c>
      <c r="R45" s="188">
        <v>4610</v>
      </c>
      <c r="S45" s="188">
        <v>2352</v>
      </c>
      <c r="T45" s="188">
        <v>15</v>
      </c>
      <c r="U45" s="188">
        <v>903</v>
      </c>
      <c r="V45" s="188">
        <v>918</v>
      </c>
      <c r="W45" s="189" t="s">
        <v>125</v>
      </c>
      <c r="X45" s="189" t="s">
        <v>125</v>
      </c>
      <c r="Y45" s="189" t="s">
        <v>125</v>
      </c>
      <c r="Z45" s="188">
        <v>155679</v>
      </c>
      <c r="AA45" s="188">
        <v>155679</v>
      </c>
      <c r="AB45" s="188">
        <v>0</v>
      </c>
      <c r="AC45" s="188">
        <v>35068868</v>
      </c>
      <c r="AD45" s="188">
        <v>354534</v>
      </c>
      <c r="AE45" s="190">
        <v>35423402</v>
      </c>
      <c r="AY45" s="192"/>
      <c r="AZ45" s="192"/>
    </row>
    <row r="46" spans="1:52" s="191" customFormat="1" ht="15" customHeight="1">
      <c r="A46" s="187" t="s">
        <v>162</v>
      </c>
      <c r="B46" s="188">
        <v>1907</v>
      </c>
      <c r="C46" s="188">
        <v>117</v>
      </c>
      <c r="D46" s="188">
        <v>9</v>
      </c>
      <c r="E46" s="188">
        <v>30243</v>
      </c>
      <c r="F46" s="188">
        <v>721</v>
      </c>
      <c r="G46" s="188">
        <v>1091</v>
      </c>
      <c r="H46" s="188">
        <v>32150</v>
      </c>
      <c r="I46" s="188">
        <v>838</v>
      </c>
      <c r="J46" s="188">
        <v>1100</v>
      </c>
      <c r="K46" s="188">
        <v>4068</v>
      </c>
      <c r="L46" s="188">
        <v>43025</v>
      </c>
      <c r="M46" s="188">
        <v>47093</v>
      </c>
      <c r="N46" s="188">
        <v>213</v>
      </c>
      <c r="O46" s="188">
        <v>131</v>
      </c>
      <c r="P46" s="188">
        <v>1329</v>
      </c>
      <c r="Q46" s="188">
        <v>886</v>
      </c>
      <c r="R46" s="188">
        <v>1542</v>
      </c>
      <c r="S46" s="188">
        <v>1017</v>
      </c>
      <c r="T46" s="188">
        <v>15</v>
      </c>
      <c r="U46" s="188">
        <v>1140</v>
      </c>
      <c r="V46" s="188">
        <v>1155</v>
      </c>
      <c r="W46" s="189" t="s">
        <v>125</v>
      </c>
      <c r="X46" s="189" t="s">
        <v>125</v>
      </c>
      <c r="Y46" s="189" t="s">
        <v>125</v>
      </c>
      <c r="Z46" s="188">
        <v>37103</v>
      </c>
      <c r="AA46" s="188">
        <v>37103</v>
      </c>
      <c r="AB46" s="188">
        <v>0</v>
      </c>
      <c r="AC46" s="188">
        <v>7002343</v>
      </c>
      <c r="AD46" s="188">
        <v>283486</v>
      </c>
      <c r="AE46" s="190">
        <v>7285829</v>
      </c>
      <c r="AY46" s="192"/>
      <c r="AZ46" s="192"/>
    </row>
    <row r="47" spans="1:52" s="191" customFormat="1" ht="15" customHeight="1">
      <c r="A47" s="187" t="s">
        <v>163</v>
      </c>
      <c r="B47" s="188">
        <v>6492</v>
      </c>
      <c r="C47" s="188">
        <v>57</v>
      </c>
      <c r="D47" s="188">
        <v>0</v>
      </c>
      <c r="E47" s="188">
        <v>41498</v>
      </c>
      <c r="F47" s="188">
        <v>410</v>
      </c>
      <c r="G47" s="188">
        <v>153</v>
      </c>
      <c r="H47" s="188">
        <v>47990</v>
      </c>
      <c r="I47" s="188">
        <v>467</v>
      </c>
      <c r="J47" s="188">
        <v>153</v>
      </c>
      <c r="K47" s="188">
        <v>15973</v>
      </c>
      <c r="L47" s="188">
        <v>89754</v>
      </c>
      <c r="M47" s="188">
        <v>105727</v>
      </c>
      <c r="N47" s="188">
        <v>140</v>
      </c>
      <c r="O47" s="188">
        <v>67</v>
      </c>
      <c r="P47" s="188">
        <v>1166</v>
      </c>
      <c r="Q47" s="188">
        <v>521</v>
      </c>
      <c r="R47" s="188">
        <v>1306</v>
      </c>
      <c r="S47" s="188">
        <v>588</v>
      </c>
      <c r="T47" s="188">
        <v>0</v>
      </c>
      <c r="U47" s="188">
        <v>219</v>
      </c>
      <c r="V47" s="188">
        <v>219</v>
      </c>
      <c r="W47" s="189" t="s">
        <v>125</v>
      </c>
      <c r="X47" s="189" t="s">
        <v>125</v>
      </c>
      <c r="Y47" s="189" t="s">
        <v>125</v>
      </c>
      <c r="Z47" s="188">
        <v>50840</v>
      </c>
      <c r="AA47" s="188">
        <v>50840</v>
      </c>
      <c r="AB47" s="188">
        <v>0</v>
      </c>
      <c r="AC47" s="188">
        <v>14096456</v>
      </c>
      <c r="AD47" s="188">
        <v>87376</v>
      </c>
      <c r="AE47" s="190">
        <v>14183832</v>
      </c>
      <c r="AY47" s="192"/>
      <c r="AZ47" s="192"/>
    </row>
    <row r="48" spans="1:52" s="191" customFormat="1" ht="15" customHeight="1">
      <c r="A48" s="187" t="s">
        <v>164</v>
      </c>
      <c r="B48" s="188">
        <v>823</v>
      </c>
      <c r="C48" s="188">
        <v>6</v>
      </c>
      <c r="D48" s="188">
        <v>0</v>
      </c>
      <c r="E48" s="188">
        <v>8744</v>
      </c>
      <c r="F48" s="188">
        <v>27</v>
      </c>
      <c r="G48" s="188">
        <v>8</v>
      </c>
      <c r="H48" s="188">
        <v>9567</v>
      </c>
      <c r="I48" s="188">
        <v>33</v>
      </c>
      <c r="J48" s="188">
        <v>8</v>
      </c>
      <c r="K48" s="188">
        <v>2034</v>
      </c>
      <c r="L48" s="188">
        <v>14869</v>
      </c>
      <c r="M48" s="188">
        <v>16903</v>
      </c>
      <c r="N48" s="188">
        <v>17</v>
      </c>
      <c r="O48" s="188">
        <v>7</v>
      </c>
      <c r="P48" s="188">
        <v>70</v>
      </c>
      <c r="Q48" s="188">
        <v>30</v>
      </c>
      <c r="R48" s="188">
        <v>87</v>
      </c>
      <c r="S48" s="188">
        <v>37</v>
      </c>
      <c r="T48" s="188">
        <v>0</v>
      </c>
      <c r="U48" s="188">
        <v>10</v>
      </c>
      <c r="V48" s="188">
        <v>10</v>
      </c>
      <c r="W48" s="189" t="s">
        <v>125</v>
      </c>
      <c r="X48" s="189" t="s">
        <v>125</v>
      </c>
      <c r="Y48" s="189" t="s">
        <v>125</v>
      </c>
      <c r="Z48" s="188">
        <v>10061</v>
      </c>
      <c r="AA48" s="188">
        <v>10061</v>
      </c>
      <c r="AB48" s="188">
        <v>0</v>
      </c>
      <c r="AC48" s="188">
        <v>2280572</v>
      </c>
      <c r="AD48" s="188">
        <v>3934</v>
      </c>
      <c r="AE48" s="190">
        <v>2284506</v>
      </c>
      <c r="AY48" s="192"/>
      <c r="AZ48" s="192"/>
    </row>
    <row r="49" spans="1:52" s="191" customFormat="1" ht="15" customHeight="1">
      <c r="A49" s="187" t="s">
        <v>165</v>
      </c>
      <c r="B49" s="188">
        <v>681</v>
      </c>
      <c r="C49" s="188">
        <v>18</v>
      </c>
      <c r="D49" s="188">
        <v>0</v>
      </c>
      <c r="E49" s="188">
        <v>12409</v>
      </c>
      <c r="F49" s="188">
        <v>393</v>
      </c>
      <c r="G49" s="188">
        <v>135</v>
      </c>
      <c r="H49" s="188">
        <v>13090</v>
      </c>
      <c r="I49" s="188">
        <v>411</v>
      </c>
      <c r="J49" s="188">
        <v>135</v>
      </c>
      <c r="K49" s="188">
        <v>1634</v>
      </c>
      <c r="L49" s="188">
        <v>22904</v>
      </c>
      <c r="M49" s="188">
        <v>24538</v>
      </c>
      <c r="N49" s="188">
        <v>41</v>
      </c>
      <c r="O49" s="188">
        <v>20</v>
      </c>
      <c r="P49" s="188">
        <v>931</v>
      </c>
      <c r="Q49" s="188">
        <v>477</v>
      </c>
      <c r="R49" s="188">
        <v>972</v>
      </c>
      <c r="S49" s="188">
        <v>497</v>
      </c>
      <c r="T49" s="188">
        <v>0</v>
      </c>
      <c r="U49" s="188">
        <v>179</v>
      </c>
      <c r="V49" s="188">
        <v>179</v>
      </c>
      <c r="W49" s="189" t="s">
        <v>125</v>
      </c>
      <c r="X49" s="189" t="s">
        <v>125</v>
      </c>
      <c r="Y49" s="189" t="s">
        <v>125</v>
      </c>
      <c r="Z49" s="188">
        <v>15515</v>
      </c>
      <c r="AA49" s="188">
        <v>15515</v>
      </c>
      <c r="AB49" s="188">
        <v>0</v>
      </c>
      <c r="AC49" s="188">
        <v>3297763</v>
      </c>
      <c r="AD49" s="188">
        <v>61015</v>
      </c>
      <c r="AE49" s="190">
        <v>3358778</v>
      </c>
      <c r="AY49" s="192"/>
      <c r="AZ49" s="192"/>
    </row>
    <row r="50" spans="1:52" s="191" customFormat="1" ht="15" customHeight="1">
      <c r="A50" s="187" t="s">
        <v>166</v>
      </c>
      <c r="B50" s="188">
        <v>2007</v>
      </c>
      <c r="C50" s="188">
        <v>16</v>
      </c>
      <c r="D50" s="188">
        <v>0</v>
      </c>
      <c r="E50" s="188">
        <v>16298</v>
      </c>
      <c r="F50" s="188">
        <v>126</v>
      </c>
      <c r="G50" s="188">
        <v>56</v>
      </c>
      <c r="H50" s="188">
        <v>18305</v>
      </c>
      <c r="I50" s="188">
        <v>142</v>
      </c>
      <c r="J50" s="188">
        <v>56</v>
      </c>
      <c r="K50" s="188">
        <v>5282</v>
      </c>
      <c r="L50" s="188">
        <v>31919</v>
      </c>
      <c r="M50" s="188">
        <v>37201</v>
      </c>
      <c r="N50" s="188">
        <v>41</v>
      </c>
      <c r="O50" s="188">
        <v>17</v>
      </c>
      <c r="P50" s="188">
        <v>354</v>
      </c>
      <c r="Q50" s="188">
        <v>141</v>
      </c>
      <c r="R50" s="188">
        <v>395</v>
      </c>
      <c r="S50" s="188">
        <v>158</v>
      </c>
      <c r="T50" s="188">
        <v>0</v>
      </c>
      <c r="U50" s="188">
        <v>67</v>
      </c>
      <c r="V50" s="188">
        <v>67</v>
      </c>
      <c r="W50" s="189" t="s">
        <v>125</v>
      </c>
      <c r="X50" s="189" t="s">
        <v>125</v>
      </c>
      <c r="Y50" s="189" t="s">
        <v>125</v>
      </c>
      <c r="Z50" s="188">
        <v>21469</v>
      </c>
      <c r="AA50" s="188">
        <v>21469</v>
      </c>
      <c r="AB50" s="188">
        <v>0</v>
      </c>
      <c r="AC50" s="188">
        <v>5089938</v>
      </c>
      <c r="AD50" s="188">
        <v>23321</v>
      </c>
      <c r="AE50" s="190">
        <v>5113259</v>
      </c>
      <c r="AY50" s="192"/>
      <c r="AZ50" s="192"/>
    </row>
    <row r="51" spans="1:52" s="191" customFormat="1" ht="15" customHeight="1">
      <c r="A51" s="187" t="s">
        <v>167</v>
      </c>
      <c r="B51" s="188">
        <v>3784</v>
      </c>
      <c r="C51" s="188">
        <v>84</v>
      </c>
      <c r="D51" s="188">
        <v>3</v>
      </c>
      <c r="E51" s="188">
        <v>42045</v>
      </c>
      <c r="F51" s="188">
        <v>788</v>
      </c>
      <c r="G51" s="188">
        <v>580</v>
      </c>
      <c r="H51" s="188">
        <v>45829</v>
      </c>
      <c r="I51" s="188">
        <v>872</v>
      </c>
      <c r="J51" s="188">
        <v>583</v>
      </c>
      <c r="K51" s="188">
        <v>9167</v>
      </c>
      <c r="L51" s="188">
        <v>79096</v>
      </c>
      <c r="M51" s="188">
        <v>88263</v>
      </c>
      <c r="N51" s="188">
        <v>170</v>
      </c>
      <c r="O51" s="188">
        <v>104</v>
      </c>
      <c r="P51" s="188">
        <v>1719</v>
      </c>
      <c r="Q51" s="188">
        <v>1023</v>
      </c>
      <c r="R51" s="188">
        <v>1889</v>
      </c>
      <c r="S51" s="188">
        <v>1127</v>
      </c>
      <c r="T51" s="188">
        <v>4</v>
      </c>
      <c r="U51" s="188">
        <v>823</v>
      </c>
      <c r="V51" s="188">
        <v>827</v>
      </c>
      <c r="W51" s="189" t="s">
        <v>125</v>
      </c>
      <c r="X51" s="189" t="s">
        <v>125</v>
      </c>
      <c r="Y51" s="189" t="s">
        <v>125</v>
      </c>
      <c r="Z51" s="188">
        <v>49212</v>
      </c>
      <c r="AA51" s="188">
        <v>49212</v>
      </c>
      <c r="AB51" s="188">
        <v>0</v>
      </c>
      <c r="AC51" s="188">
        <v>12064182</v>
      </c>
      <c r="AD51" s="188">
        <v>223516</v>
      </c>
      <c r="AE51" s="190">
        <v>12287698</v>
      </c>
      <c r="AY51" s="192"/>
      <c r="AZ51" s="192"/>
    </row>
    <row r="52" spans="1:52" s="191" customFormat="1" ht="15" customHeight="1">
      <c r="A52" s="187" t="s">
        <v>168</v>
      </c>
      <c r="B52" s="188">
        <v>1037</v>
      </c>
      <c r="C52" s="188">
        <v>4</v>
      </c>
      <c r="D52" s="188">
        <v>0</v>
      </c>
      <c r="E52" s="188">
        <v>13552</v>
      </c>
      <c r="F52" s="188">
        <v>49</v>
      </c>
      <c r="G52" s="188">
        <v>11</v>
      </c>
      <c r="H52" s="188">
        <v>14589</v>
      </c>
      <c r="I52" s="188">
        <v>53</v>
      </c>
      <c r="J52" s="188">
        <v>11</v>
      </c>
      <c r="K52" s="188">
        <v>2586</v>
      </c>
      <c r="L52" s="188">
        <v>23430</v>
      </c>
      <c r="M52" s="188">
        <v>26016</v>
      </c>
      <c r="N52" s="188">
        <v>15</v>
      </c>
      <c r="O52" s="188">
        <v>4</v>
      </c>
      <c r="P52" s="188">
        <v>122</v>
      </c>
      <c r="Q52" s="188">
        <v>58</v>
      </c>
      <c r="R52" s="188">
        <v>137</v>
      </c>
      <c r="S52" s="188">
        <v>62</v>
      </c>
      <c r="T52" s="188">
        <v>0</v>
      </c>
      <c r="U52" s="188">
        <v>13</v>
      </c>
      <c r="V52" s="188">
        <v>13</v>
      </c>
      <c r="W52" s="189" t="s">
        <v>125</v>
      </c>
      <c r="X52" s="189" t="s">
        <v>125</v>
      </c>
      <c r="Y52" s="189" t="s">
        <v>125</v>
      </c>
      <c r="Z52" s="188">
        <v>16393</v>
      </c>
      <c r="AA52" s="188">
        <v>16393</v>
      </c>
      <c r="AB52" s="188">
        <v>0</v>
      </c>
      <c r="AC52" s="188">
        <v>3524154</v>
      </c>
      <c r="AD52" s="188">
        <v>8096</v>
      </c>
      <c r="AE52" s="190">
        <v>3532250</v>
      </c>
      <c r="AY52" s="192"/>
      <c r="AZ52" s="192"/>
    </row>
    <row r="53" spans="1:52" s="191" customFormat="1" ht="15" customHeight="1">
      <c r="A53" s="187" t="s">
        <v>169</v>
      </c>
      <c r="B53" s="188">
        <v>1155</v>
      </c>
      <c r="C53" s="188">
        <v>3</v>
      </c>
      <c r="D53" s="188">
        <v>0</v>
      </c>
      <c r="E53" s="188">
        <v>11263</v>
      </c>
      <c r="F53" s="188">
        <v>21</v>
      </c>
      <c r="G53" s="188">
        <v>15</v>
      </c>
      <c r="H53" s="188">
        <v>12418</v>
      </c>
      <c r="I53" s="188">
        <v>24</v>
      </c>
      <c r="J53" s="188">
        <v>15</v>
      </c>
      <c r="K53" s="188">
        <v>2792</v>
      </c>
      <c r="L53" s="188">
        <v>20388</v>
      </c>
      <c r="M53" s="188">
        <v>23180</v>
      </c>
      <c r="N53" s="188">
        <v>6</v>
      </c>
      <c r="O53" s="188">
        <v>3</v>
      </c>
      <c r="P53" s="188">
        <v>56</v>
      </c>
      <c r="Q53" s="188">
        <v>23</v>
      </c>
      <c r="R53" s="188">
        <v>62</v>
      </c>
      <c r="S53" s="188">
        <v>26</v>
      </c>
      <c r="T53" s="188">
        <v>0</v>
      </c>
      <c r="U53" s="188">
        <v>18</v>
      </c>
      <c r="V53" s="188">
        <v>18</v>
      </c>
      <c r="W53" s="189" t="s">
        <v>125</v>
      </c>
      <c r="X53" s="189" t="s">
        <v>125</v>
      </c>
      <c r="Y53" s="189" t="s">
        <v>125</v>
      </c>
      <c r="Z53" s="188">
        <v>13161</v>
      </c>
      <c r="AA53" s="188">
        <v>13161</v>
      </c>
      <c r="AB53" s="188">
        <v>0</v>
      </c>
      <c r="AC53" s="188">
        <v>3076775</v>
      </c>
      <c r="AD53" s="188">
        <v>5797</v>
      </c>
      <c r="AE53" s="190">
        <v>3082572</v>
      </c>
      <c r="AY53" s="192"/>
      <c r="AZ53" s="192"/>
    </row>
    <row r="54" spans="1:52" s="191" customFormat="1" ht="15" customHeight="1">
      <c r="A54" s="187" t="s">
        <v>170</v>
      </c>
      <c r="B54" s="188">
        <v>13</v>
      </c>
      <c r="C54" s="188">
        <v>0</v>
      </c>
      <c r="D54" s="188">
        <v>0</v>
      </c>
      <c r="E54" s="188">
        <v>154</v>
      </c>
      <c r="F54" s="188">
        <v>0</v>
      </c>
      <c r="G54" s="188">
        <v>0</v>
      </c>
      <c r="H54" s="188">
        <v>167</v>
      </c>
      <c r="I54" s="188">
        <v>0</v>
      </c>
      <c r="J54" s="188">
        <v>0</v>
      </c>
      <c r="K54" s="188">
        <v>31</v>
      </c>
      <c r="L54" s="188">
        <v>244</v>
      </c>
      <c r="M54" s="188">
        <v>275</v>
      </c>
      <c r="N54" s="188">
        <v>0</v>
      </c>
      <c r="O54" s="188">
        <v>0</v>
      </c>
      <c r="P54" s="188">
        <v>0</v>
      </c>
      <c r="Q54" s="188">
        <v>0</v>
      </c>
      <c r="R54" s="188">
        <v>0</v>
      </c>
      <c r="S54" s="188">
        <v>0</v>
      </c>
      <c r="T54" s="188">
        <v>0</v>
      </c>
      <c r="U54" s="188">
        <v>0</v>
      </c>
      <c r="V54" s="188">
        <v>0</v>
      </c>
      <c r="W54" s="189" t="s">
        <v>125</v>
      </c>
      <c r="X54" s="189" t="s">
        <v>125</v>
      </c>
      <c r="Y54" s="189" t="s">
        <v>125</v>
      </c>
      <c r="Z54" s="188">
        <v>176</v>
      </c>
      <c r="AA54" s="188">
        <v>176</v>
      </c>
      <c r="AB54" s="188">
        <v>0</v>
      </c>
      <c r="AC54" s="188">
        <v>38709</v>
      </c>
      <c r="AD54" s="188">
        <v>0</v>
      </c>
      <c r="AE54" s="190">
        <v>38709</v>
      </c>
      <c r="AY54" s="192"/>
      <c r="AZ54" s="192"/>
    </row>
    <row r="55" spans="1:52" s="191" customFormat="1" ht="15" customHeight="1">
      <c r="A55" s="187" t="s">
        <v>171</v>
      </c>
      <c r="B55" s="188">
        <v>355</v>
      </c>
      <c r="C55" s="188">
        <v>1</v>
      </c>
      <c r="D55" s="188">
        <v>0</v>
      </c>
      <c r="E55" s="188">
        <v>2732</v>
      </c>
      <c r="F55" s="188">
        <v>6</v>
      </c>
      <c r="G55" s="188">
        <v>2</v>
      </c>
      <c r="H55" s="188">
        <v>3087</v>
      </c>
      <c r="I55" s="188">
        <v>7</v>
      </c>
      <c r="J55" s="188">
        <v>2</v>
      </c>
      <c r="K55" s="188">
        <v>940</v>
      </c>
      <c r="L55" s="188">
        <v>5435</v>
      </c>
      <c r="M55" s="188">
        <v>6375</v>
      </c>
      <c r="N55" s="188">
        <v>2</v>
      </c>
      <c r="O55" s="188">
        <v>1</v>
      </c>
      <c r="P55" s="188">
        <v>18</v>
      </c>
      <c r="Q55" s="188">
        <v>7</v>
      </c>
      <c r="R55" s="188">
        <v>20</v>
      </c>
      <c r="S55" s="188">
        <v>8</v>
      </c>
      <c r="T55" s="188">
        <v>0</v>
      </c>
      <c r="U55" s="188">
        <v>3</v>
      </c>
      <c r="V55" s="188">
        <v>3</v>
      </c>
      <c r="W55" s="189" t="s">
        <v>125</v>
      </c>
      <c r="X55" s="189" t="s">
        <v>125</v>
      </c>
      <c r="Y55" s="189" t="s">
        <v>125</v>
      </c>
      <c r="Z55" s="188">
        <v>3272</v>
      </c>
      <c r="AA55" s="188">
        <v>3272</v>
      </c>
      <c r="AB55" s="188">
        <v>0</v>
      </c>
      <c r="AC55" s="188">
        <v>837055</v>
      </c>
      <c r="AD55" s="188">
        <v>863</v>
      </c>
      <c r="AE55" s="190">
        <v>837918</v>
      </c>
      <c r="AY55" s="192"/>
      <c r="AZ55" s="192"/>
    </row>
    <row r="56" spans="1:52" s="191" customFormat="1" ht="15" customHeight="1">
      <c r="A56" s="187" t="s">
        <v>172</v>
      </c>
      <c r="B56" s="188">
        <v>2327</v>
      </c>
      <c r="C56" s="188">
        <v>25</v>
      </c>
      <c r="D56" s="188">
        <v>0</v>
      </c>
      <c r="E56" s="188">
        <v>18459</v>
      </c>
      <c r="F56" s="188">
        <v>151</v>
      </c>
      <c r="G56" s="188">
        <v>63</v>
      </c>
      <c r="H56" s="188">
        <v>20786</v>
      </c>
      <c r="I56" s="188">
        <v>176</v>
      </c>
      <c r="J56" s="188">
        <v>63</v>
      </c>
      <c r="K56" s="188">
        <v>5539</v>
      </c>
      <c r="L56" s="188">
        <v>33230</v>
      </c>
      <c r="M56" s="188">
        <v>38769</v>
      </c>
      <c r="N56" s="188">
        <v>64</v>
      </c>
      <c r="O56" s="188">
        <v>27</v>
      </c>
      <c r="P56" s="188">
        <v>347</v>
      </c>
      <c r="Q56" s="188">
        <v>170</v>
      </c>
      <c r="R56" s="188">
        <v>411</v>
      </c>
      <c r="S56" s="188">
        <v>197</v>
      </c>
      <c r="T56" s="188">
        <v>0</v>
      </c>
      <c r="U56" s="188">
        <v>81</v>
      </c>
      <c r="V56" s="188">
        <v>81</v>
      </c>
      <c r="W56" s="189" t="s">
        <v>125</v>
      </c>
      <c r="X56" s="189" t="s">
        <v>125</v>
      </c>
      <c r="Y56" s="189" t="s">
        <v>125</v>
      </c>
      <c r="Z56" s="188">
        <v>22140</v>
      </c>
      <c r="AA56" s="188">
        <v>22140</v>
      </c>
      <c r="AB56" s="188">
        <v>0</v>
      </c>
      <c r="AC56" s="188">
        <v>5443331</v>
      </c>
      <c r="AD56" s="188">
        <v>30939</v>
      </c>
      <c r="AE56" s="190">
        <v>5474270</v>
      </c>
      <c r="AY56" s="192"/>
      <c r="AZ56" s="192"/>
    </row>
    <row r="57" spans="1:52" s="191" customFormat="1" ht="15" customHeight="1">
      <c r="A57" s="187" t="s">
        <v>173</v>
      </c>
      <c r="B57" s="188">
        <v>1263</v>
      </c>
      <c r="C57" s="188">
        <v>34</v>
      </c>
      <c r="D57" s="188">
        <v>0</v>
      </c>
      <c r="E57" s="188">
        <v>15756</v>
      </c>
      <c r="F57" s="188">
        <v>228</v>
      </c>
      <c r="G57" s="188">
        <v>45</v>
      </c>
      <c r="H57" s="188">
        <v>17019</v>
      </c>
      <c r="I57" s="188">
        <v>262</v>
      </c>
      <c r="J57" s="188">
        <v>45</v>
      </c>
      <c r="K57" s="188">
        <v>3091</v>
      </c>
      <c r="L57" s="188">
        <v>26371</v>
      </c>
      <c r="M57" s="188">
        <v>29462</v>
      </c>
      <c r="N57" s="188">
        <v>90</v>
      </c>
      <c r="O57" s="188">
        <v>38</v>
      </c>
      <c r="P57" s="188">
        <v>549</v>
      </c>
      <c r="Q57" s="188">
        <v>251</v>
      </c>
      <c r="R57" s="188">
        <v>639</v>
      </c>
      <c r="S57" s="188">
        <v>289</v>
      </c>
      <c r="T57" s="188">
        <v>0</v>
      </c>
      <c r="U57" s="188">
        <v>60</v>
      </c>
      <c r="V57" s="188">
        <v>60</v>
      </c>
      <c r="W57" s="189" t="s">
        <v>125</v>
      </c>
      <c r="X57" s="189" t="s">
        <v>125</v>
      </c>
      <c r="Y57" s="189" t="s">
        <v>125</v>
      </c>
      <c r="Z57" s="188">
        <v>19482</v>
      </c>
      <c r="AA57" s="188">
        <v>19482</v>
      </c>
      <c r="AB57" s="188">
        <v>0</v>
      </c>
      <c r="AC57" s="188">
        <v>4005180</v>
      </c>
      <c r="AD57" s="188">
        <v>30333</v>
      </c>
      <c r="AE57" s="190">
        <v>4035513</v>
      </c>
      <c r="AY57" s="192"/>
      <c r="AZ57" s="192"/>
    </row>
    <row r="58" spans="1:52" s="191" customFormat="1" ht="15" customHeight="1">
      <c r="A58" s="187" t="s">
        <v>174</v>
      </c>
      <c r="B58" s="188">
        <v>5130</v>
      </c>
      <c r="C58" s="188">
        <v>32</v>
      </c>
      <c r="D58" s="188">
        <v>0</v>
      </c>
      <c r="E58" s="188">
        <v>34480</v>
      </c>
      <c r="F58" s="188">
        <v>175</v>
      </c>
      <c r="G58" s="188">
        <v>27</v>
      </c>
      <c r="H58" s="188">
        <v>39610</v>
      </c>
      <c r="I58" s="188">
        <v>207</v>
      </c>
      <c r="J58" s="188">
        <v>27</v>
      </c>
      <c r="K58" s="188">
        <v>13309</v>
      </c>
      <c r="L58" s="188">
        <v>68956</v>
      </c>
      <c r="M58" s="188">
        <v>82265</v>
      </c>
      <c r="N58" s="188">
        <v>88</v>
      </c>
      <c r="O58" s="188">
        <v>40</v>
      </c>
      <c r="P58" s="188">
        <v>519</v>
      </c>
      <c r="Q58" s="188">
        <v>196</v>
      </c>
      <c r="R58" s="188">
        <v>607</v>
      </c>
      <c r="S58" s="188">
        <v>236</v>
      </c>
      <c r="T58" s="188">
        <v>0</v>
      </c>
      <c r="U58" s="188">
        <v>34</v>
      </c>
      <c r="V58" s="188">
        <v>34</v>
      </c>
      <c r="W58" s="189" t="s">
        <v>125</v>
      </c>
      <c r="X58" s="189" t="s">
        <v>125</v>
      </c>
      <c r="Y58" s="189" t="s">
        <v>125</v>
      </c>
      <c r="Z58" s="188">
        <v>41500</v>
      </c>
      <c r="AA58" s="188">
        <v>41500</v>
      </c>
      <c r="AB58" s="188">
        <v>0</v>
      </c>
      <c r="AC58" s="188">
        <v>11052635</v>
      </c>
      <c r="AD58" s="188">
        <v>24912</v>
      </c>
      <c r="AE58" s="190">
        <v>11077547</v>
      </c>
      <c r="AY58" s="192"/>
      <c r="AZ58" s="192"/>
    </row>
    <row r="59" spans="1:52" s="191" customFormat="1" ht="15" customHeight="1">
      <c r="A59" s="187" t="s">
        <v>216</v>
      </c>
      <c r="B59" s="188">
        <v>682</v>
      </c>
      <c r="C59" s="188">
        <v>15</v>
      </c>
      <c r="D59" s="188">
        <v>1</v>
      </c>
      <c r="E59" s="188">
        <v>4806</v>
      </c>
      <c r="F59" s="188">
        <v>42</v>
      </c>
      <c r="G59" s="188">
        <v>12</v>
      </c>
      <c r="H59" s="188">
        <v>5488</v>
      </c>
      <c r="I59" s="188">
        <v>57</v>
      </c>
      <c r="J59" s="188">
        <v>13</v>
      </c>
      <c r="K59" s="188">
        <v>1923</v>
      </c>
      <c r="L59" s="188">
        <v>10576</v>
      </c>
      <c r="M59" s="188">
        <v>12499</v>
      </c>
      <c r="N59" s="188">
        <v>31</v>
      </c>
      <c r="O59" s="188">
        <v>15</v>
      </c>
      <c r="P59" s="188">
        <v>123</v>
      </c>
      <c r="Q59" s="188">
        <v>51</v>
      </c>
      <c r="R59" s="188">
        <v>154</v>
      </c>
      <c r="S59" s="188">
        <v>66</v>
      </c>
      <c r="T59" s="188">
        <v>1</v>
      </c>
      <c r="U59" s="188">
        <v>17</v>
      </c>
      <c r="V59" s="188">
        <v>18</v>
      </c>
      <c r="W59" s="189" t="s">
        <v>125</v>
      </c>
      <c r="X59" s="189" t="s">
        <v>125</v>
      </c>
      <c r="Y59" s="189" t="s">
        <v>125</v>
      </c>
      <c r="Z59" s="188">
        <v>5858</v>
      </c>
      <c r="AA59" s="188">
        <v>5858</v>
      </c>
      <c r="AB59" s="188">
        <v>0</v>
      </c>
      <c r="AC59" s="188">
        <v>1672684</v>
      </c>
      <c r="AD59" s="188">
        <v>9007</v>
      </c>
      <c r="AE59" s="190">
        <v>1681691</v>
      </c>
      <c r="AY59" s="192"/>
      <c r="AZ59" s="192"/>
    </row>
    <row r="60" spans="1:52" s="191" customFormat="1" ht="15" customHeight="1">
      <c r="A60" s="187" t="s">
        <v>176</v>
      </c>
      <c r="B60" s="188">
        <v>458</v>
      </c>
      <c r="C60" s="188">
        <v>0</v>
      </c>
      <c r="D60" s="188">
        <v>0</v>
      </c>
      <c r="E60" s="188">
        <v>3848</v>
      </c>
      <c r="F60" s="188">
        <v>12</v>
      </c>
      <c r="G60" s="188">
        <v>1</v>
      </c>
      <c r="H60" s="188">
        <v>4306</v>
      </c>
      <c r="I60" s="188">
        <v>12</v>
      </c>
      <c r="J60" s="188">
        <v>1</v>
      </c>
      <c r="K60" s="188">
        <v>1205</v>
      </c>
      <c r="L60" s="188">
        <v>8133</v>
      </c>
      <c r="M60" s="188">
        <v>9338</v>
      </c>
      <c r="N60" s="188">
        <v>0</v>
      </c>
      <c r="O60" s="188">
        <v>0</v>
      </c>
      <c r="P60" s="188">
        <v>34</v>
      </c>
      <c r="Q60" s="188">
        <v>13</v>
      </c>
      <c r="R60" s="188">
        <v>34</v>
      </c>
      <c r="S60" s="188">
        <v>13</v>
      </c>
      <c r="T60" s="188">
        <v>0</v>
      </c>
      <c r="U60" s="188">
        <v>1</v>
      </c>
      <c r="V60" s="188">
        <v>1</v>
      </c>
      <c r="W60" s="189" t="s">
        <v>125</v>
      </c>
      <c r="X60" s="189" t="s">
        <v>125</v>
      </c>
      <c r="Y60" s="189" t="s">
        <v>125</v>
      </c>
      <c r="Z60" s="188">
        <v>4601</v>
      </c>
      <c r="AA60" s="188">
        <v>4601</v>
      </c>
      <c r="AB60" s="188">
        <v>0</v>
      </c>
      <c r="AC60" s="188">
        <v>1198847</v>
      </c>
      <c r="AD60" s="188">
        <v>1940</v>
      </c>
      <c r="AE60" s="190">
        <v>1200787</v>
      </c>
      <c r="AY60" s="192"/>
      <c r="AZ60" s="192"/>
    </row>
    <row r="61" spans="1:52" s="191" customFormat="1" ht="15" customHeight="1">
      <c r="A61" s="187" t="s">
        <v>177</v>
      </c>
      <c r="B61" s="188">
        <v>60</v>
      </c>
      <c r="C61" s="188">
        <v>0</v>
      </c>
      <c r="D61" s="188">
        <v>0</v>
      </c>
      <c r="E61" s="188">
        <v>912</v>
      </c>
      <c r="F61" s="188">
        <v>2</v>
      </c>
      <c r="G61" s="188">
        <v>0</v>
      </c>
      <c r="H61" s="188">
        <v>972</v>
      </c>
      <c r="I61" s="188">
        <v>2</v>
      </c>
      <c r="J61" s="188">
        <v>0</v>
      </c>
      <c r="K61" s="188">
        <v>138</v>
      </c>
      <c r="L61" s="188">
        <v>1562</v>
      </c>
      <c r="M61" s="188">
        <v>1700</v>
      </c>
      <c r="N61" s="188">
        <v>0</v>
      </c>
      <c r="O61" s="188">
        <v>0</v>
      </c>
      <c r="P61" s="188">
        <v>4</v>
      </c>
      <c r="Q61" s="188">
        <v>2</v>
      </c>
      <c r="R61" s="188">
        <v>4</v>
      </c>
      <c r="S61" s="188">
        <v>2</v>
      </c>
      <c r="T61" s="188">
        <v>0</v>
      </c>
      <c r="U61" s="188">
        <v>0</v>
      </c>
      <c r="V61" s="188">
        <v>0</v>
      </c>
      <c r="W61" s="189" t="s">
        <v>125</v>
      </c>
      <c r="X61" s="189" t="s">
        <v>125</v>
      </c>
      <c r="Y61" s="189" t="s">
        <v>125</v>
      </c>
      <c r="Z61" s="188">
        <v>1034</v>
      </c>
      <c r="AA61" s="188">
        <v>1034</v>
      </c>
      <c r="AB61" s="188">
        <v>0</v>
      </c>
      <c r="AC61" s="188">
        <v>239246</v>
      </c>
      <c r="AD61" s="188">
        <v>207</v>
      </c>
      <c r="AE61" s="190">
        <v>239453</v>
      </c>
      <c r="AY61" s="192"/>
      <c r="AZ61" s="192"/>
    </row>
    <row r="62" spans="1:52" s="191" customFormat="1" ht="15" customHeight="1">
      <c r="A62" s="187" t="s">
        <v>178</v>
      </c>
      <c r="B62" s="188">
        <v>7081</v>
      </c>
      <c r="C62" s="188">
        <v>66</v>
      </c>
      <c r="D62" s="188">
        <v>1</v>
      </c>
      <c r="E62" s="188">
        <v>42917</v>
      </c>
      <c r="F62" s="188">
        <v>732</v>
      </c>
      <c r="G62" s="188">
        <v>198</v>
      </c>
      <c r="H62" s="188">
        <v>49998</v>
      </c>
      <c r="I62" s="188">
        <v>798</v>
      </c>
      <c r="J62" s="188">
        <v>199</v>
      </c>
      <c r="K62" s="188">
        <v>19402</v>
      </c>
      <c r="L62" s="188">
        <v>95426</v>
      </c>
      <c r="M62" s="188">
        <v>114828</v>
      </c>
      <c r="N62" s="188">
        <v>169</v>
      </c>
      <c r="O62" s="188">
        <v>76</v>
      </c>
      <c r="P62" s="188">
        <v>2005</v>
      </c>
      <c r="Q62" s="188">
        <v>810</v>
      </c>
      <c r="R62" s="188">
        <v>2174</v>
      </c>
      <c r="S62" s="188">
        <v>886</v>
      </c>
      <c r="T62" s="188">
        <v>1</v>
      </c>
      <c r="U62" s="188">
        <v>243</v>
      </c>
      <c r="V62" s="188">
        <v>244</v>
      </c>
      <c r="W62" s="189" t="s">
        <v>125</v>
      </c>
      <c r="X62" s="189" t="s">
        <v>125</v>
      </c>
      <c r="Y62" s="189" t="s">
        <v>125</v>
      </c>
      <c r="Z62" s="188">
        <v>58817</v>
      </c>
      <c r="AA62" s="188">
        <v>58817</v>
      </c>
      <c r="AB62" s="188">
        <v>0</v>
      </c>
      <c r="AC62" s="188">
        <v>15676032</v>
      </c>
      <c r="AD62" s="188">
        <v>122769</v>
      </c>
      <c r="AE62" s="190">
        <v>15798801</v>
      </c>
      <c r="AY62" s="192"/>
      <c r="AZ62" s="192"/>
    </row>
    <row r="63" spans="1:52" s="191" customFormat="1" ht="15" customHeight="1">
      <c r="A63" s="187" t="s">
        <v>179</v>
      </c>
      <c r="B63" s="188">
        <v>265</v>
      </c>
      <c r="C63" s="188">
        <v>1</v>
      </c>
      <c r="D63" s="188">
        <v>0</v>
      </c>
      <c r="E63" s="188">
        <v>2594</v>
      </c>
      <c r="F63" s="188">
        <v>1</v>
      </c>
      <c r="G63" s="188">
        <v>2</v>
      </c>
      <c r="H63" s="188">
        <v>2859</v>
      </c>
      <c r="I63" s="188">
        <v>2</v>
      </c>
      <c r="J63" s="188">
        <v>2</v>
      </c>
      <c r="K63" s="188">
        <v>671</v>
      </c>
      <c r="L63" s="188">
        <v>4356</v>
      </c>
      <c r="M63" s="188">
        <v>5027</v>
      </c>
      <c r="N63" s="188">
        <v>4</v>
      </c>
      <c r="O63" s="188">
        <v>2</v>
      </c>
      <c r="P63" s="188">
        <v>1</v>
      </c>
      <c r="Q63" s="188">
        <v>1</v>
      </c>
      <c r="R63" s="188">
        <v>5</v>
      </c>
      <c r="S63" s="188">
        <v>3</v>
      </c>
      <c r="T63" s="188">
        <v>0</v>
      </c>
      <c r="U63" s="188">
        <v>4</v>
      </c>
      <c r="V63" s="188">
        <v>4</v>
      </c>
      <c r="W63" s="189" t="s">
        <v>125</v>
      </c>
      <c r="X63" s="189" t="s">
        <v>125</v>
      </c>
      <c r="Y63" s="189" t="s">
        <v>125</v>
      </c>
      <c r="Z63" s="188">
        <v>3031</v>
      </c>
      <c r="AA63" s="188">
        <v>3031</v>
      </c>
      <c r="AB63" s="188">
        <v>0</v>
      </c>
      <c r="AC63" s="188">
        <v>660328</v>
      </c>
      <c r="AD63" s="188">
        <v>632</v>
      </c>
      <c r="AE63" s="190">
        <v>660960</v>
      </c>
      <c r="AY63" s="192"/>
      <c r="AZ63" s="192"/>
    </row>
    <row r="64" spans="1:52" s="191" customFormat="1" ht="15" customHeight="1">
      <c r="A64" s="187" t="s">
        <v>180</v>
      </c>
      <c r="B64" s="188">
        <v>2618</v>
      </c>
      <c r="C64" s="188">
        <v>21</v>
      </c>
      <c r="D64" s="188">
        <v>0</v>
      </c>
      <c r="E64" s="188">
        <v>32158</v>
      </c>
      <c r="F64" s="188">
        <v>315</v>
      </c>
      <c r="G64" s="188">
        <v>228</v>
      </c>
      <c r="H64" s="188">
        <v>34776</v>
      </c>
      <c r="I64" s="188">
        <v>336</v>
      </c>
      <c r="J64" s="188">
        <v>228</v>
      </c>
      <c r="K64" s="188">
        <v>6606</v>
      </c>
      <c r="L64" s="188">
        <v>61988</v>
      </c>
      <c r="M64" s="188">
        <v>68594</v>
      </c>
      <c r="N64" s="188">
        <v>47</v>
      </c>
      <c r="O64" s="188">
        <v>28</v>
      </c>
      <c r="P64" s="188">
        <v>739</v>
      </c>
      <c r="Q64" s="188">
        <v>373</v>
      </c>
      <c r="R64" s="188">
        <v>786</v>
      </c>
      <c r="S64" s="188">
        <v>401</v>
      </c>
      <c r="T64" s="188">
        <v>0</v>
      </c>
      <c r="U64" s="188">
        <v>294</v>
      </c>
      <c r="V64" s="188">
        <v>294</v>
      </c>
      <c r="W64" s="189" t="s">
        <v>125</v>
      </c>
      <c r="X64" s="189" t="s">
        <v>125</v>
      </c>
      <c r="Y64" s="189" t="s">
        <v>125</v>
      </c>
      <c r="Z64" s="188">
        <v>40628</v>
      </c>
      <c r="AA64" s="188">
        <v>40628</v>
      </c>
      <c r="AB64" s="188">
        <v>0</v>
      </c>
      <c r="AC64" s="188">
        <v>9270705</v>
      </c>
      <c r="AD64" s="188">
        <v>121075</v>
      </c>
      <c r="AE64" s="190">
        <v>9391780</v>
      </c>
      <c r="AY64" s="192"/>
      <c r="AZ64" s="192"/>
    </row>
    <row r="65" spans="1:52" s="191" customFormat="1" ht="15" customHeight="1">
      <c r="A65" s="187" t="s">
        <v>181</v>
      </c>
      <c r="B65" s="188">
        <v>805</v>
      </c>
      <c r="C65" s="188">
        <v>50</v>
      </c>
      <c r="D65" s="188">
        <v>0</v>
      </c>
      <c r="E65" s="188">
        <v>8985</v>
      </c>
      <c r="F65" s="188">
        <v>152</v>
      </c>
      <c r="G65" s="188">
        <v>62</v>
      </c>
      <c r="H65" s="188">
        <v>9790</v>
      </c>
      <c r="I65" s="188">
        <v>202</v>
      </c>
      <c r="J65" s="188">
        <v>62</v>
      </c>
      <c r="K65" s="188">
        <v>2056</v>
      </c>
      <c r="L65" s="188">
        <v>16287</v>
      </c>
      <c r="M65" s="188">
        <v>18343</v>
      </c>
      <c r="N65" s="188">
        <v>130</v>
      </c>
      <c r="O65" s="188">
        <v>83</v>
      </c>
      <c r="P65" s="188">
        <v>404</v>
      </c>
      <c r="Q65" s="188">
        <v>231</v>
      </c>
      <c r="R65" s="188">
        <v>534</v>
      </c>
      <c r="S65" s="188">
        <v>314</v>
      </c>
      <c r="T65" s="188">
        <v>0</v>
      </c>
      <c r="U65" s="188">
        <v>81</v>
      </c>
      <c r="V65" s="188">
        <v>81</v>
      </c>
      <c r="W65" s="189" t="s">
        <v>125</v>
      </c>
      <c r="X65" s="189" t="s">
        <v>125</v>
      </c>
      <c r="Y65" s="189" t="s">
        <v>125</v>
      </c>
      <c r="Z65" s="188">
        <v>11697</v>
      </c>
      <c r="AA65" s="188">
        <v>11697</v>
      </c>
      <c r="AB65" s="188">
        <v>0</v>
      </c>
      <c r="AC65" s="188">
        <v>2558243</v>
      </c>
      <c r="AD65" s="188">
        <v>44644</v>
      </c>
      <c r="AE65" s="190">
        <v>2602887</v>
      </c>
      <c r="AY65" s="192"/>
      <c r="AZ65" s="192"/>
    </row>
    <row r="66" spans="1:52" s="191" customFormat="1" ht="15" customHeight="1" thickBot="1">
      <c r="A66" s="193" t="s">
        <v>182</v>
      </c>
      <c r="B66" s="194">
        <v>769</v>
      </c>
      <c r="C66" s="194">
        <v>5</v>
      </c>
      <c r="D66" s="194">
        <v>0</v>
      </c>
      <c r="E66" s="194">
        <v>5174</v>
      </c>
      <c r="F66" s="194">
        <v>27</v>
      </c>
      <c r="G66" s="194">
        <v>8</v>
      </c>
      <c r="H66" s="194">
        <v>5943</v>
      </c>
      <c r="I66" s="194">
        <v>32</v>
      </c>
      <c r="J66" s="194">
        <v>8</v>
      </c>
      <c r="K66" s="194">
        <v>2037</v>
      </c>
      <c r="L66" s="194">
        <v>10797</v>
      </c>
      <c r="M66" s="194">
        <v>12834</v>
      </c>
      <c r="N66" s="194">
        <v>14</v>
      </c>
      <c r="O66" s="194">
        <v>7</v>
      </c>
      <c r="P66" s="194">
        <v>85</v>
      </c>
      <c r="Q66" s="194">
        <v>39</v>
      </c>
      <c r="R66" s="194">
        <v>99</v>
      </c>
      <c r="S66" s="194">
        <v>46</v>
      </c>
      <c r="T66" s="194">
        <v>0</v>
      </c>
      <c r="U66" s="194">
        <v>8</v>
      </c>
      <c r="V66" s="194">
        <v>8</v>
      </c>
      <c r="W66" s="195" t="s">
        <v>125</v>
      </c>
      <c r="X66" s="195" t="s">
        <v>125</v>
      </c>
      <c r="Y66" s="195" t="s">
        <v>125</v>
      </c>
      <c r="Z66" s="194">
        <v>6295</v>
      </c>
      <c r="AA66" s="194">
        <v>6295</v>
      </c>
      <c r="AB66" s="194">
        <v>0</v>
      </c>
      <c r="AC66" s="194">
        <v>1725922</v>
      </c>
      <c r="AD66" s="194">
        <v>5193</v>
      </c>
      <c r="AE66" s="196">
        <v>1731115</v>
      </c>
      <c r="AG66" s="197" t="s">
        <v>63</v>
      </c>
      <c r="AY66" s="192"/>
      <c r="AZ66" s="192"/>
    </row>
    <row r="67" spans="1:52" s="191" customFormat="1" ht="15.75" customHeight="1" thickTop="1">
      <c r="A67" s="198" t="s">
        <v>183</v>
      </c>
      <c r="B67" s="199">
        <f>SUBTOTAL(109,Jun17Data[Cell 1])</f>
        <v>240809</v>
      </c>
      <c r="C67" s="199">
        <f>SUBTOTAL(109,Jun17Data[Cell 2])</f>
        <v>4796</v>
      </c>
      <c r="D67" s="199">
        <f>SUBTOTAL(109,Jun17Data[Cell 3])</f>
        <v>277</v>
      </c>
      <c r="E67" s="199">
        <f>SUBTOTAL(109,Jun17Data[Cell 4])</f>
        <v>1706686</v>
      </c>
      <c r="F67" s="199">
        <f>SUBTOTAL(109,Jun17Data[Cell 5])</f>
        <v>20156</v>
      </c>
      <c r="G67" s="199">
        <f>SUBTOTAL(109,Jun17Data[Cell 6])</f>
        <v>10403</v>
      </c>
      <c r="H67" s="199">
        <f>SUBTOTAL(109,Jun17Data[Cell 15])</f>
        <v>1947495</v>
      </c>
      <c r="I67" s="199">
        <f>SUBTOTAL(109,Jun17Data[Cell 16])</f>
        <v>24952</v>
      </c>
      <c r="J67" s="199">
        <f>SUBTOTAL(109,Jun17Data[Cell 17])</f>
        <v>10680</v>
      </c>
      <c r="K67" s="199">
        <f>SUBTOTAL(109,Jun17Data[Cell 7])</f>
        <v>614850</v>
      </c>
      <c r="L67" s="199">
        <f>SUBTOTAL(109,Jun17Data[Cell 8])</f>
        <v>3374357</v>
      </c>
      <c r="M67" s="199">
        <f>SUBTOTAL(109,Jun17Data[Cell 18])</f>
        <v>3989207</v>
      </c>
      <c r="N67" s="199">
        <f>SUBTOTAL(109,Jun17Data[Cell 9])</f>
        <v>10835</v>
      </c>
      <c r="O67" s="199">
        <f>SUBTOTAL(109,Jun17Data[Cell 10])</f>
        <v>6556</v>
      </c>
      <c r="P67" s="199">
        <f>SUBTOTAL(109,Jun17Data[Cell 11])</f>
        <v>48332</v>
      </c>
      <c r="Q67" s="199">
        <f>SUBTOTAL(109,Jun17Data[Cell 12])</f>
        <v>24852</v>
      </c>
      <c r="R67" s="199">
        <f>SUBTOTAL(109,Jun17Data[Cell 19])</f>
        <v>59167</v>
      </c>
      <c r="S67" s="199">
        <f>SUBTOTAL(109,Jun17Data[Cell 20])</f>
        <v>31408</v>
      </c>
      <c r="T67" s="199">
        <f>SUBTOTAL(109,Jun17Data[Cell 13])</f>
        <v>368</v>
      </c>
      <c r="U67" s="199">
        <f>SUBTOTAL(109,Jun17Data[Cell 14])</f>
        <v>13338</v>
      </c>
      <c r="V67" s="199">
        <f>SUBTOTAL(109,Jun17Data[Cell 21])</f>
        <v>13706</v>
      </c>
      <c r="W67" s="200"/>
      <c r="X67" s="200"/>
      <c r="Y67" s="200"/>
      <c r="Z67" s="199">
        <f>SUBTOTAL(109,Jun17Data[Cell 25])</f>
        <v>2136862</v>
      </c>
      <c r="AA67" s="199">
        <f>SUBTOTAL(109,Jun17Data[Cell 26])</f>
        <v>2136862</v>
      </c>
      <c r="AB67" s="199">
        <f>SUBTOTAL(109,Jun17Data[Cell 27])</f>
        <v>0</v>
      </c>
      <c r="AC67" s="199">
        <f>SUBTOTAL(109,Jun17Data[Cell 28])</f>
        <v>555970033</v>
      </c>
      <c r="AD67" s="199">
        <f>SUBTOTAL(109,Jun17Data[Cell 29])</f>
        <v>5232368</v>
      </c>
      <c r="AE67" s="199">
        <f>SUBTOTAL(109,Jun17Data[Cell 30])</f>
        <v>561202401</v>
      </c>
      <c r="AG67" s="201">
        <v>1138831756</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18"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184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8</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6258</v>
      </c>
      <c r="C9" s="188">
        <v>240</v>
      </c>
      <c r="D9" s="188">
        <v>10</v>
      </c>
      <c r="E9" s="188">
        <v>51775</v>
      </c>
      <c r="F9" s="188">
        <v>1390</v>
      </c>
      <c r="G9" s="188">
        <v>650</v>
      </c>
      <c r="H9" s="188">
        <v>58033</v>
      </c>
      <c r="I9" s="188">
        <v>1630</v>
      </c>
      <c r="J9" s="188">
        <v>660</v>
      </c>
      <c r="K9" s="188">
        <v>14352</v>
      </c>
      <c r="L9" s="188">
        <v>94522</v>
      </c>
      <c r="M9" s="188">
        <v>108874</v>
      </c>
      <c r="N9" s="188">
        <v>575</v>
      </c>
      <c r="O9" s="188">
        <v>310</v>
      </c>
      <c r="P9" s="188">
        <v>3166</v>
      </c>
      <c r="Q9" s="188">
        <v>1810</v>
      </c>
      <c r="R9" s="188">
        <v>3741</v>
      </c>
      <c r="S9" s="188">
        <v>2120</v>
      </c>
      <c r="T9" s="188">
        <v>18</v>
      </c>
      <c r="U9" s="188">
        <v>878</v>
      </c>
      <c r="V9" s="188">
        <v>896</v>
      </c>
      <c r="W9" s="189" t="s">
        <v>125</v>
      </c>
      <c r="X9" s="189" t="s">
        <v>125</v>
      </c>
      <c r="Y9" s="189" t="s">
        <v>125</v>
      </c>
      <c r="Z9" s="188">
        <v>60323</v>
      </c>
      <c r="AA9" s="188">
        <v>60323</v>
      </c>
      <c r="AB9" s="188">
        <v>0</v>
      </c>
      <c r="AC9" s="188">
        <v>16064163</v>
      </c>
      <c r="AD9" s="188">
        <v>339809</v>
      </c>
      <c r="AE9" s="190">
        <v>16403972</v>
      </c>
    </row>
    <row r="10" spans="1:52" ht="15" customHeight="1">
      <c r="A10" s="187" t="s">
        <v>126</v>
      </c>
      <c r="B10" s="188">
        <v>0</v>
      </c>
      <c r="C10" s="188">
        <v>0</v>
      </c>
      <c r="D10" s="188">
        <v>0</v>
      </c>
      <c r="E10" s="188">
        <v>93</v>
      </c>
      <c r="F10" s="188">
        <v>0</v>
      </c>
      <c r="G10" s="188">
        <v>0</v>
      </c>
      <c r="H10" s="188">
        <v>93</v>
      </c>
      <c r="I10" s="188">
        <v>0</v>
      </c>
      <c r="J10" s="188">
        <v>0</v>
      </c>
      <c r="K10" s="188">
        <v>0</v>
      </c>
      <c r="L10" s="188">
        <v>154</v>
      </c>
      <c r="M10" s="188">
        <v>154</v>
      </c>
      <c r="N10" s="188">
        <v>0</v>
      </c>
      <c r="O10" s="188">
        <v>0</v>
      </c>
      <c r="P10" s="188">
        <v>0</v>
      </c>
      <c r="Q10" s="188">
        <v>0</v>
      </c>
      <c r="R10" s="188">
        <v>0</v>
      </c>
      <c r="S10" s="188">
        <v>0</v>
      </c>
      <c r="T10" s="188">
        <v>0</v>
      </c>
      <c r="U10" s="188">
        <v>0</v>
      </c>
      <c r="V10" s="188">
        <v>0</v>
      </c>
      <c r="W10" s="189" t="s">
        <v>125</v>
      </c>
      <c r="X10" s="189" t="s">
        <v>125</v>
      </c>
      <c r="Y10" s="189" t="s">
        <v>125</v>
      </c>
      <c r="Z10" s="188">
        <v>102</v>
      </c>
      <c r="AA10" s="188">
        <v>102</v>
      </c>
      <c r="AB10" s="188">
        <v>0</v>
      </c>
      <c r="AC10" s="188">
        <v>19185</v>
      </c>
      <c r="AD10" s="188">
        <v>0</v>
      </c>
      <c r="AE10" s="190">
        <v>19185</v>
      </c>
    </row>
    <row r="11" spans="1:52" ht="15" customHeight="1">
      <c r="A11" s="187" t="s">
        <v>127</v>
      </c>
      <c r="B11" s="188">
        <v>148</v>
      </c>
      <c r="C11" s="188">
        <v>0</v>
      </c>
      <c r="D11" s="188">
        <v>0</v>
      </c>
      <c r="E11" s="188">
        <v>1616</v>
      </c>
      <c r="F11" s="188">
        <v>1</v>
      </c>
      <c r="G11" s="188">
        <v>0</v>
      </c>
      <c r="H11" s="188">
        <v>1764</v>
      </c>
      <c r="I11" s="188">
        <v>1</v>
      </c>
      <c r="J11" s="188">
        <v>0</v>
      </c>
      <c r="K11" s="188">
        <v>389</v>
      </c>
      <c r="L11" s="188">
        <v>2932</v>
      </c>
      <c r="M11" s="188">
        <v>3321</v>
      </c>
      <c r="N11" s="188">
        <v>0</v>
      </c>
      <c r="O11" s="188">
        <v>0</v>
      </c>
      <c r="P11" s="188">
        <v>2</v>
      </c>
      <c r="Q11" s="188">
        <v>1</v>
      </c>
      <c r="R11" s="188">
        <v>2</v>
      </c>
      <c r="S11" s="188">
        <v>1</v>
      </c>
      <c r="T11" s="188">
        <v>0</v>
      </c>
      <c r="U11" s="188">
        <v>0</v>
      </c>
      <c r="V11" s="188">
        <v>0</v>
      </c>
      <c r="W11" s="189" t="s">
        <v>125</v>
      </c>
      <c r="X11" s="189" t="s">
        <v>125</v>
      </c>
      <c r="Y11" s="189" t="s">
        <v>125</v>
      </c>
      <c r="Z11" s="188">
        <v>1828</v>
      </c>
      <c r="AA11" s="188">
        <v>1828</v>
      </c>
      <c r="AB11" s="188">
        <v>0</v>
      </c>
      <c r="AC11" s="188">
        <v>447974</v>
      </c>
      <c r="AD11" s="188">
        <v>0</v>
      </c>
      <c r="AE11" s="190">
        <v>447974</v>
      </c>
    </row>
    <row r="12" spans="1:52" ht="15" customHeight="1">
      <c r="A12" s="187" t="s">
        <v>128</v>
      </c>
      <c r="B12" s="188">
        <v>1724</v>
      </c>
      <c r="C12" s="188">
        <v>10</v>
      </c>
      <c r="D12" s="188">
        <v>1</v>
      </c>
      <c r="E12" s="188">
        <v>15169</v>
      </c>
      <c r="F12" s="188">
        <v>39</v>
      </c>
      <c r="G12" s="188">
        <v>31</v>
      </c>
      <c r="H12" s="188">
        <v>16893</v>
      </c>
      <c r="I12" s="188">
        <v>49</v>
      </c>
      <c r="J12" s="188">
        <v>32</v>
      </c>
      <c r="K12" s="188">
        <v>4302</v>
      </c>
      <c r="L12" s="188">
        <v>27639</v>
      </c>
      <c r="M12" s="188">
        <v>31941</v>
      </c>
      <c r="N12" s="188">
        <v>18</v>
      </c>
      <c r="O12" s="188">
        <v>10</v>
      </c>
      <c r="P12" s="188">
        <v>118</v>
      </c>
      <c r="Q12" s="188">
        <v>41</v>
      </c>
      <c r="R12" s="188">
        <v>136</v>
      </c>
      <c r="S12" s="188">
        <v>51</v>
      </c>
      <c r="T12" s="188">
        <v>1</v>
      </c>
      <c r="U12" s="188">
        <v>36</v>
      </c>
      <c r="V12" s="188">
        <v>37</v>
      </c>
      <c r="W12" s="189" t="s">
        <v>125</v>
      </c>
      <c r="X12" s="189" t="s">
        <v>125</v>
      </c>
      <c r="Y12" s="189" t="s">
        <v>125</v>
      </c>
      <c r="Z12" s="188">
        <v>17776</v>
      </c>
      <c r="AA12" s="188">
        <v>17776</v>
      </c>
      <c r="AB12" s="188">
        <v>0</v>
      </c>
      <c r="AC12" s="188">
        <v>4362929</v>
      </c>
      <c r="AD12" s="188">
        <v>11324</v>
      </c>
      <c r="AE12" s="190">
        <v>4374253</v>
      </c>
    </row>
    <row r="13" spans="1:52" ht="15" customHeight="1">
      <c r="A13" s="187" t="s">
        <v>129</v>
      </c>
      <c r="B13" s="188">
        <v>208</v>
      </c>
      <c r="C13" s="188">
        <v>0</v>
      </c>
      <c r="D13" s="188">
        <v>0</v>
      </c>
      <c r="E13" s="188">
        <v>2567</v>
      </c>
      <c r="F13" s="188">
        <v>6</v>
      </c>
      <c r="G13" s="188">
        <v>3</v>
      </c>
      <c r="H13" s="188">
        <v>2775</v>
      </c>
      <c r="I13" s="188">
        <v>6</v>
      </c>
      <c r="J13" s="188">
        <v>3</v>
      </c>
      <c r="K13" s="188">
        <v>554</v>
      </c>
      <c r="L13" s="188">
        <v>4571</v>
      </c>
      <c r="M13" s="188">
        <v>5125</v>
      </c>
      <c r="N13" s="188">
        <v>0</v>
      </c>
      <c r="O13" s="188">
        <v>0</v>
      </c>
      <c r="P13" s="188">
        <v>10</v>
      </c>
      <c r="Q13" s="188">
        <v>8</v>
      </c>
      <c r="R13" s="188">
        <v>10</v>
      </c>
      <c r="S13" s="188">
        <v>8</v>
      </c>
      <c r="T13" s="188">
        <v>0</v>
      </c>
      <c r="U13" s="188">
        <v>4</v>
      </c>
      <c r="V13" s="188">
        <v>4</v>
      </c>
      <c r="W13" s="189" t="s">
        <v>125</v>
      </c>
      <c r="X13" s="189" t="s">
        <v>125</v>
      </c>
      <c r="Y13" s="189" t="s">
        <v>125</v>
      </c>
      <c r="Z13" s="188">
        <v>2894</v>
      </c>
      <c r="AA13" s="188">
        <v>2894</v>
      </c>
      <c r="AB13" s="188">
        <v>0</v>
      </c>
      <c r="AC13" s="188">
        <v>680707</v>
      </c>
      <c r="AD13" s="188">
        <v>1334</v>
      </c>
      <c r="AE13" s="190">
        <v>682041</v>
      </c>
    </row>
    <row r="14" spans="1:52" ht="15" customHeight="1">
      <c r="A14" s="187" t="s">
        <v>130</v>
      </c>
      <c r="B14" s="188">
        <v>77</v>
      </c>
      <c r="C14" s="188">
        <v>1</v>
      </c>
      <c r="D14" s="188">
        <v>0</v>
      </c>
      <c r="E14" s="188">
        <v>549</v>
      </c>
      <c r="F14" s="188">
        <v>2</v>
      </c>
      <c r="G14" s="188">
        <v>0</v>
      </c>
      <c r="H14" s="188">
        <v>626</v>
      </c>
      <c r="I14" s="188">
        <v>3</v>
      </c>
      <c r="J14" s="188">
        <v>0</v>
      </c>
      <c r="K14" s="188">
        <v>199</v>
      </c>
      <c r="L14" s="188">
        <v>1200</v>
      </c>
      <c r="M14" s="188">
        <v>1399</v>
      </c>
      <c r="N14" s="188">
        <v>2</v>
      </c>
      <c r="O14" s="188">
        <v>1</v>
      </c>
      <c r="P14" s="188">
        <v>5</v>
      </c>
      <c r="Q14" s="188">
        <v>3</v>
      </c>
      <c r="R14" s="188">
        <v>7</v>
      </c>
      <c r="S14" s="188">
        <v>4</v>
      </c>
      <c r="T14" s="188">
        <v>0</v>
      </c>
      <c r="U14" s="188">
        <v>0</v>
      </c>
      <c r="V14" s="188">
        <v>0</v>
      </c>
      <c r="W14" s="189" t="s">
        <v>125</v>
      </c>
      <c r="X14" s="189" t="s">
        <v>125</v>
      </c>
      <c r="Y14" s="189" t="s">
        <v>125</v>
      </c>
      <c r="Z14" s="188">
        <v>662</v>
      </c>
      <c r="AA14" s="188">
        <v>662</v>
      </c>
      <c r="AB14" s="188">
        <v>0</v>
      </c>
      <c r="AC14" s="188">
        <v>178556</v>
      </c>
      <c r="AD14" s="188">
        <v>292</v>
      </c>
      <c r="AE14" s="190">
        <v>178848</v>
      </c>
    </row>
    <row r="15" spans="1:52" ht="15" customHeight="1">
      <c r="A15" s="187" t="s">
        <v>131</v>
      </c>
      <c r="B15" s="188">
        <v>4091</v>
      </c>
      <c r="C15" s="188">
        <v>107</v>
      </c>
      <c r="D15" s="188">
        <v>1</v>
      </c>
      <c r="E15" s="188">
        <v>29272</v>
      </c>
      <c r="F15" s="188">
        <v>359</v>
      </c>
      <c r="G15" s="188">
        <v>154</v>
      </c>
      <c r="H15" s="188">
        <v>33363</v>
      </c>
      <c r="I15" s="188">
        <v>466</v>
      </c>
      <c r="J15" s="188">
        <v>155</v>
      </c>
      <c r="K15" s="188">
        <v>9433</v>
      </c>
      <c r="L15" s="188">
        <v>56221</v>
      </c>
      <c r="M15" s="188">
        <v>65654</v>
      </c>
      <c r="N15" s="188">
        <v>256</v>
      </c>
      <c r="O15" s="188">
        <v>159</v>
      </c>
      <c r="P15" s="188">
        <v>874</v>
      </c>
      <c r="Q15" s="188">
        <v>496</v>
      </c>
      <c r="R15" s="188">
        <v>1130</v>
      </c>
      <c r="S15" s="188">
        <v>655</v>
      </c>
      <c r="T15" s="188">
        <v>1</v>
      </c>
      <c r="U15" s="188">
        <v>207</v>
      </c>
      <c r="V15" s="188">
        <v>208</v>
      </c>
      <c r="W15" s="189" t="s">
        <v>125</v>
      </c>
      <c r="X15" s="189" t="s">
        <v>125</v>
      </c>
      <c r="Y15" s="189" t="s">
        <v>125</v>
      </c>
      <c r="Z15" s="188">
        <v>39395</v>
      </c>
      <c r="AA15" s="188">
        <v>39395</v>
      </c>
      <c r="AB15" s="188">
        <v>0</v>
      </c>
      <c r="AC15" s="188">
        <v>9581672</v>
      </c>
      <c r="AD15" s="188">
        <v>92606</v>
      </c>
      <c r="AE15" s="190">
        <v>9674278</v>
      </c>
    </row>
    <row r="16" spans="1:52" s="191" customFormat="1" ht="15" customHeight="1">
      <c r="A16" s="187" t="s">
        <v>132</v>
      </c>
      <c r="B16" s="188">
        <v>392</v>
      </c>
      <c r="C16" s="188">
        <v>0</v>
      </c>
      <c r="D16" s="188">
        <v>0</v>
      </c>
      <c r="E16" s="188">
        <v>2215</v>
      </c>
      <c r="F16" s="188">
        <v>1</v>
      </c>
      <c r="G16" s="188">
        <v>0</v>
      </c>
      <c r="H16" s="188">
        <v>2607</v>
      </c>
      <c r="I16" s="188">
        <v>1</v>
      </c>
      <c r="J16" s="188">
        <v>0</v>
      </c>
      <c r="K16" s="188">
        <v>1117</v>
      </c>
      <c r="L16" s="188">
        <v>4180</v>
      </c>
      <c r="M16" s="188">
        <v>5297</v>
      </c>
      <c r="N16" s="188">
        <v>0</v>
      </c>
      <c r="O16" s="188">
        <v>0</v>
      </c>
      <c r="P16" s="188">
        <v>2</v>
      </c>
      <c r="Q16" s="188">
        <v>1</v>
      </c>
      <c r="R16" s="188">
        <v>2</v>
      </c>
      <c r="S16" s="188">
        <v>1</v>
      </c>
      <c r="T16" s="188">
        <v>0</v>
      </c>
      <c r="U16" s="188">
        <v>0</v>
      </c>
      <c r="V16" s="188">
        <v>0</v>
      </c>
      <c r="W16" s="189" t="s">
        <v>125</v>
      </c>
      <c r="X16" s="189" t="s">
        <v>125</v>
      </c>
      <c r="Y16" s="189" t="s">
        <v>125</v>
      </c>
      <c r="Z16" s="188">
        <v>2718</v>
      </c>
      <c r="AA16" s="188">
        <v>2718</v>
      </c>
      <c r="AB16" s="188">
        <v>0</v>
      </c>
      <c r="AC16" s="188">
        <v>716688</v>
      </c>
      <c r="AD16" s="188">
        <v>0</v>
      </c>
      <c r="AE16" s="190">
        <v>716688</v>
      </c>
      <c r="AY16" s="192"/>
      <c r="AZ16" s="192"/>
    </row>
    <row r="17" spans="1:52" s="191" customFormat="1" ht="15" customHeight="1">
      <c r="A17" s="187" t="s">
        <v>133</v>
      </c>
      <c r="B17" s="188">
        <v>563</v>
      </c>
      <c r="C17" s="188">
        <v>2</v>
      </c>
      <c r="D17" s="188">
        <v>0</v>
      </c>
      <c r="E17" s="188">
        <v>6650</v>
      </c>
      <c r="F17" s="188">
        <v>31</v>
      </c>
      <c r="G17" s="188">
        <v>9</v>
      </c>
      <c r="H17" s="188">
        <v>7213</v>
      </c>
      <c r="I17" s="188">
        <v>33</v>
      </c>
      <c r="J17" s="188">
        <v>9</v>
      </c>
      <c r="K17" s="188">
        <v>1375</v>
      </c>
      <c r="L17" s="188">
        <v>11381</v>
      </c>
      <c r="M17" s="188">
        <v>12756</v>
      </c>
      <c r="N17" s="188">
        <v>6</v>
      </c>
      <c r="O17" s="188">
        <v>2</v>
      </c>
      <c r="P17" s="188">
        <v>78</v>
      </c>
      <c r="Q17" s="188">
        <v>37</v>
      </c>
      <c r="R17" s="188">
        <v>84</v>
      </c>
      <c r="S17" s="188">
        <v>39</v>
      </c>
      <c r="T17" s="188">
        <v>0</v>
      </c>
      <c r="U17" s="188">
        <v>11</v>
      </c>
      <c r="V17" s="188">
        <v>11</v>
      </c>
      <c r="W17" s="189" t="s">
        <v>125</v>
      </c>
      <c r="X17" s="189" t="s">
        <v>125</v>
      </c>
      <c r="Y17" s="189" t="s">
        <v>125</v>
      </c>
      <c r="Z17" s="188">
        <v>7563</v>
      </c>
      <c r="AA17" s="188">
        <v>7563</v>
      </c>
      <c r="AB17" s="188">
        <v>0</v>
      </c>
      <c r="AC17" s="188">
        <v>1750756</v>
      </c>
      <c r="AD17" s="188">
        <v>4610</v>
      </c>
      <c r="AE17" s="190">
        <v>1755366</v>
      </c>
      <c r="AY17" s="192"/>
      <c r="AZ17" s="192"/>
    </row>
    <row r="18" spans="1:52" s="191" customFormat="1" ht="15" customHeight="1">
      <c r="A18" s="187" t="s">
        <v>134</v>
      </c>
      <c r="B18" s="188">
        <v>12396</v>
      </c>
      <c r="C18" s="188">
        <v>194</v>
      </c>
      <c r="D18" s="188">
        <v>17</v>
      </c>
      <c r="E18" s="188">
        <v>81021</v>
      </c>
      <c r="F18" s="188">
        <v>663</v>
      </c>
      <c r="G18" s="188">
        <v>209</v>
      </c>
      <c r="H18" s="188">
        <v>93417</v>
      </c>
      <c r="I18" s="188">
        <v>857</v>
      </c>
      <c r="J18" s="188">
        <v>226</v>
      </c>
      <c r="K18" s="188">
        <v>33429</v>
      </c>
      <c r="L18" s="188">
        <v>181670</v>
      </c>
      <c r="M18" s="188">
        <v>215099</v>
      </c>
      <c r="N18" s="188">
        <v>476</v>
      </c>
      <c r="O18" s="188">
        <v>228</v>
      </c>
      <c r="P18" s="188">
        <v>1819</v>
      </c>
      <c r="Q18" s="188">
        <v>766</v>
      </c>
      <c r="R18" s="188">
        <v>2295</v>
      </c>
      <c r="S18" s="188">
        <v>994</v>
      </c>
      <c r="T18" s="188">
        <v>32</v>
      </c>
      <c r="U18" s="188">
        <v>251</v>
      </c>
      <c r="V18" s="188">
        <v>283</v>
      </c>
      <c r="W18" s="189" t="s">
        <v>125</v>
      </c>
      <c r="X18" s="189" t="s">
        <v>125</v>
      </c>
      <c r="Y18" s="189" t="s">
        <v>125</v>
      </c>
      <c r="Z18" s="188">
        <v>105747</v>
      </c>
      <c r="AA18" s="188">
        <v>105747</v>
      </c>
      <c r="AB18" s="188">
        <v>0</v>
      </c>
      <c r="AC18" s="188">
        <v>31741529</v>
      </c>
      <c r="AD18" s="188">
        <v>169183</v>
      </c>
      <c r="AE18" s="190">
        <v>31910712</v>
      </c>
      <c r="AY18" s="192"/>
      <c r="AZ18" s="192"/>
    </row>
    <row r="19" spans="1:52" s="191" customFormat="1" ht="15" customHeight="1">
      <c r="A19" s="187" t="s">
        <v>135</v>
      </c>
      <c r="B19" s="188">
        <v>222</v>
      </c>
      <c r="C19" s="188">
        <v>2</v>
      </c>
      <c r="D19" s="188">
        <v>0</v>
      </c>
      <c r="E19" s="188">
        <v>1349</v>
      </c>
      <c r="F19" s="188">
        <v>12</v>
      </c>
      <c r="G19" s="188">
        <v>0</v>
      </c>
      <c r="H19" s="188">
        <v>1571</v>
      </c>
      <c r="I19" s="188">
        <v>14</v>
      </c>
      <c r="J19" s="188">
        <v>0</v>
      </c>
      <c r="K19" s="188">
        <v>582</v>
      </c>
      <c r="L19" s="188">
        <v>3052</v>
      </c>
      <c r="M19" s="188">
        <v>3634</v>
      </c>
      <c r="N19" s="188">
        <v>10</v>
      </c>
      <c r="O19" s="188">
        <v>2</v>
      </c>
      <c r="P19" s="188">
        <v>41</v>
      </c>
      <c r="Q19" s="188">
        <v>12</v>
      </c>
      <c r="R19" s="188">
        <v>51</v>
      </c>
      <c r="S19" s="188">
        <v>14</v>
      </c>
      <c r="T19" s="188">
        <v>0</v>
      </c>
      <c r="U19" s="188">
        <v>0</v>
      </c>
      <c r="V19" s="188">
        <v>0</v>
      </c>
      <c r="W19" s="189" t="s">
        <v>125</v>
      </c>
      <c r="X19" s="189" t="s">
        <v>125</v>
      </c>
      <c r="Y19" s="189" t="s">
        <v>125</v>
      </c>
      <c r="Z19" s="188">
        <v>1705</v>
      </c>
      <c r="AA19" s="188">
        <v>1705</v>
      </c>
      <c r="AB19" s="188">
        <v>0</v>
      </c>
      <c r="AC19" s="188">
        <v>460865</v>
      </c>
      <c r="AD19" s="188">
        <v>856</v>
      </c>
      <c r="AE19" s="190">
        <v>461721</v>
      </c>
      <c r="AY19" s="192"/>
      <c r="AZ19" s="192"/>
    </row>
    <row r="20" spans="1:52" s="191" customFormat="1" ht="15" customHeight="1">
      <c r="A20" s="187" t="s">
        <v>136</v>
      </c>
      <c r="B20" s="188">
        <v>907</v>
      </c>
      <c r="C20" s="188">
        <v>0</v>
      </c>
      <c r="D20" s="188">
        <v>0</v>
      </c>
      <c r="E20" s="188">
        <v>11515</v>
      </c>
      <c r="F20" s="188">
        <v>27</v>
      </c>
      <c r="G20" s="188">
        <v>7</v>
      </c>
      <c r="H20" s="188">
        <v>12422</v>
      </c>
      <c r="I20" s="188">
        <v>27</v>
      </c>
      <c r="J20" s="188">
        <v>7</v>
      </c>
      <c r="K20" s="188">
        <v>2276</v>
      </c>
      <c r="L20" s="188">
        <v>18774</v>
      </c>
      <c r="M20" s="188">
        <v>21050</v>
      </c>
      <c r="N20" s="188">
        <v>0</v>
      </c>
      <c r="O20" s="188">
        <v>0</v>
      </c>
      <c r="P20" s="188">
        <v>57</v>
      </c>
      <c r="Q20" s="188">
        <v>32</v>
      </c>
      <c r="R20" s="188">
        <v>57</v>
      </c>
      <c r="S20" s="188">
        <v>32</v>
      </c>
      <c r="T20" s="188">
        <v>0</v>
      </c>
      <c r="U20" s="188">
        <v>9</v>
      </c>
      <c r="V20" s="188">
        <v>9</v>
      </c>
      <c r="W20" s="189" t="s">
        <v>125</v>
      </c>
      <c r="X20" s="189" t="s">
        <v>125</v>
      </c>
      <c r="Y20" s="189" t="s">
        <v>125</v>
      </c>
      <c r="Z20" s="188">
        <v>13006</v>
      </c>
      <c r="AA20" s="188">
        <v>13006</v>
      </c>
      <c r="AB20" s="188">
        <v>0</v>
      </c>
      <c r="AC20" s="188">
        <v>2928358</v>
      </c>
      <c r="AD20" s="188">
        <v>4882</v>
      </c>
      <c r="AE20" s="190">
        <v>2933240</v>
      </c>
      <c r="AY20" s="192"/>
      <c r="AZ20" s="192"/>
    </row>
    <row r="21" spans="1:52" s="191" customFormat="1" ht="15" customHeight="1">
      <c r="A21" s="187" t="s">
        <v>137</v>
      </c>
      <c r="B21" s="188">
        <v>2257</v>
      </c>
      <c r="C21" s="188">
        <v>31</v>
      </c>
      <c r="D21" s="188">
        <v>4</v>
      </c>
      <c r="E21" s="188">
        <v>14782</v>
      </c>
      <c r="F21" s="188">
        <v>303</v>
      </c>
      <c r="G21" s="188">
        <v>54</v>
      </c>
      <c r="H21" s="188">
        <v>17039</v>
      </c>
      <c r="I21" s="188">
        <v>334</v>
      </c>
      <c r="J21" s="188">
        <v>58</v>
      </c>
      <c r="K21" s="188">
        <v>6375</v>
      </c>
      <c r="L21" s="188">
        <v>34801</v>
      </c>
      <c r="M21" s="188">
        <v>41176</v>
      </c>
      <c r="N21" s="188">
        <v>83</v>
      </c>
      <c r="O21" s="188">
        <v>31</v>
      </c>
      <c r="P21" s="188">
        <v>800</v>
      </c>
      <c r="Q21" s="188">
        <v>333</v>
      </c>
      <c r="R21" s="188">
        <v>883</v>
      </c>
      <c r="S21" s="188">
        <v>364</v>
      </c>
      <c r="T21" s="188">
        <v>4</v>
      </c>
      <c r="U21" s="188">
        <v>63</v>
      </c>
      <c r="V21" s="188">
        <v>67</v>
      </c>
      <c r="W21" s="189" t="s">
        <v>125</v>
      </c>
      <c r="X21" s="189" t="s">
        <v>125</v>
      </c>
      <c r="Y21" s="189" t="s">
        <v>125</v>
      </c>
      <c r="Z21" s="188">
        <v>18366</v>
      </c>
      <c r="AA21" s="188">
        <v>18366</v>
      </c>
      <c r="AB21" s="188">
        <v>0</v>
      </c>
      <c r="AC21" s="188">
        <v>5409178</v>
      </c>
      <c r="AD21" s="188">
        <v>45973</v>
      </c>
      <c r="AE21" s="190">
        <v>5455151</v>
      </c>
      <c r="AY21" s="192"/>
      <c r="AZ21" s="192"/>
    </row>
    <row r="22" spans="1:52" s="191" customFormat="1" ht="15" customHeight="1">
      <c r="A22" s="187" t="s">
        <v>138</v>
      </c>
      <c r="B22" s="188">
        <v>96</v>
      </c>
      <c r="C22" s="188">
        <v>0</v>
      </c>
      <c r="D22" s="188">
        <v>1</v>
      </c>
      <c r="E22" s="188">
        <v>965</v>
      </c>
      <c r="F22" s="188">
        <v>7</v>
      </c>
      <c r="G22" s="188">
        <v>0</v>
      </c>
      <c r="H22" s="188">
        <v>1061</v>
      </c>
      <c r="I22" s="188">
        <v>7</v>
      </c>
      <c r="J22" s="188">
        <v>1</v>
      </c>
      <c r="K22" s="188">
        <v>263</v>
      </c>
      <c r="L22" s="188">
        <v>1782</v>
      </c>
      <c r="M22" s="188">
        <v>2045</v>
      </c>
      <c r="N22" s="188">
        <v>0</v>
      </c>
      <c r="O22" s="188">
        <v>0</v>
      </c>
      <c r="P22" s="188">
        <v>18</v>
      </c>
      <c r="Q22" s="188">
        <v>8</v>
      </c>
      <c r="R22" s="188">
        <v>18</v>
      </c>
      <c r="S22" s="188">
        <v>8</v>
      </c>
      <c r="T22" s="188">
        <v>1</v>
      </c>
      <c r="U22" s="188">
        <v>0</v>
      </c>
      <c r="V22" s="188">
        <v>1</v>
      </c>
      <c r="W22" s="189" t="s">
        <v>125</v>
      </c>
      <c r="X22" s="189" t="s">
        <v>125</v>
      </c>
      <c r="Y22" s="189" t="s">
        <v>125</v>
      </c>
      <c r="Z22" s="188">
        <v>1126</v>
      </c>
      <c r="AA22" s="188">
        <v>1126</v>
      </c>
      <c r="AB22" s="188">
        <v>0</v>
      </c>
      <c r="AC22" s="188">
        <v>256725</v>
      </c>
      <c r="AD22" s="188">
        <v>380</v>
      </c>
      <c r="AE22" s="190">
        <v>257105</v>
      </c>
      <c r="AY22" s="192"/>
      <c r="AZ22" s="192"/>
    </row>
    <row r="23" spans="1:52" s="191" customFormat="1" ht="15" customHeight="1">
      <c r="A23" s="187" t="s">
        <v>139</v>
      </c>
      <c r="B23" s="188">
        <v>9897</v>
      </c>
      <c r="C23" s="188">
        <v>60</v>
      </c>
      <c r="D23" s="188">
        <v>2</v>
      </c>
      <c r="E23" s="188">
        <v>59801</v>
      </c>
      <c r="F23" s="188">
        <v>442</v>
      </c>
      <c r="G23" s="188">
        <v>264</v>
      </c>
      <c r="H23" s="188">
        <v>69698</v>
      </c>
      <c r="I23" s="188">
        <v>502</v>
      </c>
      <c r="J23" s="188">
        <v>266</v>
      </c>
      <c r="K23" s="188">
        <v>26491</v>
      </c>
      <c r="L23" s="188">
        <v>134903</v>
      </c>
      <c r="M23" s="188">
        <v>161394</v>
      </c>
      <c r="N23" s="188">
        <v>159</v>
      </c>
      <c r="O23" s="188">
        <v>65</v>
      </c>
      <c r="P23" s="188">
        <v>1199</v>
      </c>
      <c r="Q23" s="188">
        <v>486</v>
      </c>
      <c r="R23" s="188">
        <v>1358</v>
      </c>
      <c r="S23" s="188">
        <v>551</v>
      </c>
      <c r="T23" s="188">
        <v>3</v>
      </c>
      <c r="U23" s="188">
        <v>414</v>
      </c>
      <c r="V23" s="188">
        <v>417</v>
      </c>
      <c r="W23" s="189" t="s">
        <v>125</v>
      </c>
      <c r="X23" s="189" t="s">
        <v>125</v>
      </c>
      <c r="Y23" s="189" t="s">
        <v>125</v>
      </c>
      <c r="Z23" s="188">
        <v>76044</v>
      </c>
      <c r="AA23" s="188">
        <v>76044</v>
      </c>
      <c r="AB23" s="188">
        <v>0</v>
      </c>
      <c r="AC23" s="188">
        <v>21770188</v>
      </c>
      <c r="AD23" s="188">
        <v>125236</v>
      </c>
      <c r="AE23" s="190">
        <v>21895424</v>
      </c>
      <c r="AY23" s="192"/>
      <c r="AZ23" s="192"/>
    </row>
    <row r="24" spans="1:52" s="191" customFormat="1" ht="15" customHeight="1">
      <c r="A24" s="187" t="s">
        <v>140</v>
      </c>
      <c r="B24" s="188">
        <v>1402</v>
      </c>
      <c r="C24" s="188">
        <v>15</v>
      </c>
      <c r="D24" s="188">
        <v>3</v>
      </c>
      <c r="E24" s="188">
        <v>9177</v>
      </c>
      <c r="F24" s="188">
        <v>108</v>
      </c>
      <c r="G24" s="188">
        <v>21</v>
      </c>
      <c r="H24" s="188">
        <v>10579</v>
      </c>
      <c r="I24" s="188">
        <v>123</v>
      </c>
      <c r="J24" s="188">
        <v>24</v>
      </c>
      <c r="K24" s="188">
        <v>3859</v>
      </c>
      <c r="L24" s="188">
        <v>20033</v>
      </c>
      <c r="M24" s="188">
        <v>23892</v>
      </c>
      <c r="N24" s="188">
        <v>42</v>
      </c>
      <c r="O24" s="188">
        <v>15</v>
      </c>
      <c r="P24" s="188">
        <v>323</v>
      </c>
      <c r="Q24" s="188">
        <v>112</v>
      </c>
      <c r="R24" s="188">
        <v>365</v>
      </c>
      <c r="S24" s="188">
        <v>127</v>
      </c>
      <c r="T24" s="188">
        <v>3</v>
      </c>
      <c r="U24" s="188">
        <v>27</v>
      </c>
      <c r="V24" s="188">
        <v>30</v>
      </c>
      <c r="W24" s="189" t="s">
        <v>125</v>
      </c>
      <c r="X24" s="189" t="s">
        <v>125</v>
      </c>
      <c r="Y24" s="189" t="s">
        <v>125</v>
      </c>
      <c r="Z24" s="188">
        <v>11289</v>
      </c>
      <c r="AA24" s="188">
        <v>11289</v>
      </c>
      <c r="AB24" s="188">
        <v>0</v>
      </c>
      <c r="AC24" s="188">
        <v>3094477</v>
      </c>
      <c r="AD24" s="188">
        <v>16720</v>
      </c>
      <c r="AE24" s="190">
        <v>3111197</v>
      </c>
      <c r="AY24" s="192"/>
      <c r="AZ24" s="192"/>
    </row>
    <row r="25" spans="1:52" s="191" customFormat="1" ht="15" customHeight="1">
      <c r="A25" s="187" t="s">
        <v>141</v>
      </c>
      <c r="B25" s="188">
        <v>602</v>
      </c>
      <c r="C25" s="188">
        <v>4</v>
      </c>
      <c r="D25" s="188">
        <v>0</v>
      </c>
      <c r="E25" s="188">
        <v>5980</v>
      </c>
      <c r="F25" s="188">
        <v>23</v>
      </c>
      <c r="G25" s="188">
        <v>9</v>
      </c>
      <c r="H25" s="188">
        <v>6582</v>
      </c>
      <c r="I25" s="188">
        <v>27</v>
      </c>
      <c r="J25" s="188">
        <v>9</v>
      </c>
      <c r="K25" s="188">
        <v>1552</v>
      </c>
      <c r="L25" s="188">
        <v>10711</v>
      </c>
      <c r="M25" s="188">
        <v>12263</v>
      </c>
      <c r="N25" s="188">
        <v>12</v>
      </c>
      <c r="O25" s="188">
        <v>4</v>
      </c>
      <c r="P25" s="188">
        <v>63</v>
      </c>
      <c r="Q25" s="188">
        <v>25</v>
      </c>
      <c r="R25" s="188">
        <v>75</v>
      </c>
      <c r="S25" s="188">
        <v>29</v>
      </c>
      <c r="T25" s="188">
        <v>0</v>
      </c>
      <c r="U25" s="188">
        <v>11</v>
      </c>
      <c r="V25" s="188">
        <v>11</v>
      </c>
      <c r="W25" s="189" t="s">
        <v>125</v>
      </c>
      <c r="X25" s="189" t="s">
        <v>125</v>
      </c>
      <c r="Y25" s="189" t="s">
        <v>125</v>
      </c>
      <c r="Z25" s="188">
        <v>6932</v>
      </c>
      <c r="AA25" s="188">
        <v>6932</v>
      </c>
      <c r="AB25" s="188">
        <v>0</v>
      </c>
      <c r="AC25" s="188">
        <v>1682326</v>
      </c>
      <c r="AD25" s="188">
        <v>3208</v>
      </c>
      <c r="AE25" s="190">
        <v>1685534</v>
      </c>
      <c r="AY25" s="192"/>
      <c r="AZ25" s="192"/>
    </row>
    <row r="26" spans="1:52" s="191" customFormat="1" ht="15" customHeight="1">
      <c r="A26" s="187" t="s">
        <v>142</v>
      </c>
      <c r="B26" s="188">
        <v>218</v>
      </c>
      <c r="C26" s="188">
        <v>0</v>
      </c>
      <c r="D26" s="188">
        <v>1</v>
      </c>
      <c r="E26" s="188">
        <v>1348</v>
      </c>
      <c r="F26" s="188">
        <v>2</v>
      </c>
      <c r="G26" s="188">
        <v>0</v>
      </c>
      <c r="H26" s="188">
        <v>1566</v>
      </c>
      <c r="I26" s="188">
        <v>2</v>
      </c>
      <c r="J26" s="188">
        <v>1</v>
      </c>
      <c r="K26" s="188">
        <v>618</v>
      </c>
      <c r="L26" s="188">
        <v>2520</v>
      </c>
      <c r="M26" s="188">
        <v>3138</v>
      </c>
      <c r="N26" s="188">
        <v>0</v>
      </c>
      <c r="O26" s="188">
        <v>0</v>
      </c>
      <c r="P26" s="188">
        <v>5</v>
      </c>
      <c r="Q26" s="188">
        <v>3</v>
      </c>
      <c r="R26" s="188">
        <v>5</v>
      </c>
      <c r="S26" s="188">
        <v>3</v>
      </c>
      <c r="T26" s="188">
        <v>1</v>
      </c>
      <c r="U26" s="188">
        <v>0</v>
      </c>
      <c r="V26" s="188">
        <v>1</v>
      </c>
      <c r="W26" s="189" t="s">
        <v>125</v>
      </c>
      <c r="X26" s="189" t="s">
        <v>125</v>
      </c>
      <c r="Y26" s="189" t="s">
        <v>125</v>
      </c>
      <c r="Z26" s="188">
        <v>1665</v>
      </c>
      <c r="AA26" s="188">
        <v>1665</v>
      </c>
      <c r="AB26" s="188">
        <v>0</v>
      </c>
      <c r="AC26" s="188">
        <v>438066</v>
      </c>
      <c r="AD26" s="188">
        <v>194</v>
      </c>
      <c r="AE26" s="190">
        <v>438260</v>
      </c>
      <c r="AY26" s="192"/>
      <c r="AZ26" s="192"/>
    </row>
    <row r="27" spans="1:52" s="191" customFormat="1" ht="15" customHeight="1">
      <c r="A27" s="187" t="s">
        <v>143</v>
      </c>
      <c r="B27" s="188">
        <v>82254</v>
      </c>
      <c r="C27" s="188">
        <v>2239</v>
      </c>
      <c r="D27" s="188">
        <v>49</v>
      </c>
      <c r="E27" s="188">
        <v>457909</v>
      </c>
      <c r="F27" s="188">
        <v>5411</v>
      </c>
      <c r="G27" s="188">
        <v>3615</v>
      </c>
      <c r="H27" s="188">
        <v>540163</v>
      </c>
      <c r="I27" s="188">
        <v>7650</v>
      </c>
      <c r="J27" s="188">
        <v>3664</v>
      </c>
      <c r="K27" s="188">
        <v>201108</v>
      </c>
      <c r="L27" s="188">
        <v>866924</v>
      </c>
      <c r="M27" s="188">
        <v>1068032</v>
      </c>
      <c r="N27" s="188">
        <v>4625</v>
      </c>
      <c r="O27" s="188">
        <v>3085</v>
      </c>
      <c r="P27" s="188">
        <v>12479</v>
      </c>
      <c r="Q27" s="188">
        <v>6730</v>
      </c>
      <c r="R27" s="188">
        <v>17104</v>
      </c>
      <c r="S27" s="188">
        <v>9815</v>
      </c>
      <c r="T27" s="188">
        <v>87</v>
      </c>
      <c r="U27" s="188">
        <v>4636</v>
      </c>
      <c r="V27" s="188">
        <v>4723</v>
      </c>
      <c r="W27" s="189" t="s">
        <v>125</v>
      </c>
      <c r="X27" s="189" t="s">
        <v>125</v>
      </c>
      <c r="Y27" s="189" t="s">
        <v>125</v>
      </c>
      <c r="Z27" s="188">
        <v>620777</v>
      </c>
      <c r="AA27" s="188">
        <v>620777</v>
      </c>
      <c r="AB27" s="188">
        <v>0</v>
      </c>
      <c r="AC27" s="188">
        <v>159838216</v>
      </c>
      <c r="AD27" s="188">
        <v>2022241</v>
      </c>
      <c r="AE27" s="190">
        <v>161860457</v>
      </c>
      <c r="AY27" s="192"/>
      <c r="AZ27" s="192"/>
    </row>
    <row r="28" spans="1:52" s="191" customFormat="1" ht="15" customHeight="1">
      <c r="A28" s="187" t="s">
        <v>144</v>
      </c>
      <c r="B28" s="188">
        <v>1705</v>
      </c>
      <c r="C28" s="188">
        <v>11</v>
      </c>
      <c r="D28" s="188">
        <v>1</v>
      </c>
      <c r="E28" s="188">
        <v>10118</v>
      </c>
      <c r="F28" s="188">
        <v>53</v>
      </c>
      <c r="G28" s="188">
        <v>8</v>
      </c>
      <c r="H28" s="188">
        <v>11823</v>
      </c>
      <c r="I28" s="188">
        <v>64</v>
      </c>
      <c r="J28" s="188">
        <v>9</v>
      </c>
      <c r="K28" s="188">
        <v>4701</v>
      </c>
      <c r="L28" s="188">
        <v>24029</v>
      </c>
      <c r="M28" s="188">
        <v>28730</v>
      </c>
      <c r="N28" s="188">
        <v>28</v>
      </c>
      <c r="O28" s="188">
        <v>11</v>
      </c>
      <c r="P28" s="188">
        <v>163</v>
      </c>
      <c r="Q28" s="188">
        <v>55</v>
      </c>
      <c r="R28" s="188">
        <v>191</v>
      </c>
      <c r="S28" s="188">
        <v>66</v>
      </c>
      <c r="T28" s="188">
        <v>1</v>
      </c>
      <c r="U28" s="188">
        <v>11</v>
      </c>
      <c r="V28" s="188">
        <v>12</v>
      </c>
      <c r="W28" s="189" t="s">
        <v>125</v>
      </c>
      <c r="X28" s="189" t="s">
        <v>125</v>
      </c>
      <c r="Y28" s="189" t="s">
        <v>125</v>
      </c>
      <c r="Z28" s="188">
        <v>9090</v>
      </c>
      <c r="AA28" s="188">
        <v>9090</v>
      </c>
      <c r="AB28" s="188">
        <v>0</v>
      </c>
      <c r="AC28" s="188">
        <v>3805965</v>
      </c>
      <c r="AD28" s="188">
        <v>5872</v>
      </c>
      <c r="AE28" s="190">
        <v>3811837</v>
      </c>
      <c r="AY28" s="192"/>
      <c r="AZ28" s="192"/>
    </row>
    <row r="29" spans="1:52" s="191" customFormat="1" ht="15" customHeight="1">
      <c r="A29" s="187" t="s">
        <v>145</v>
      </c>
      <c r="B29" s="188">
        <v>542</v>
      </c>
      <c r="C29" s="188">
        <v>39</v>
      </c>
      <c r="D29" s="188">
        <v>2</v>
      </c>
      <c r="E29" s="188">
        <v>5362</v>
      </c>
      <c r="F29" s="188">
        <v>207</v>
      </c>
      <c r="G29" s="188">
        <v>75</v>
      </c>
      <c r="H29" s="188">
        <v>5904</v>
      </c>
      <c r="I29" s="188">
        <v>246</v>
      </c>
      <c r="J29" s="188">
        <v>77</v>
      </c>
      <c r="K29" s="188">
        <v>1185</v>
      </c>
      <c r="L29" s="188">
        <v>8152</v>
      </c>
      <c r="M29" s="188">
        <v>9337</v>
      </c>
      <c r="N29" s="188">
        <v>90</v>
      </c>
      <c r="O29" s="188">
        <v>43</v>
      </c>
      <c r="P29" s="188">
        <v>417</v>
      </c>
      <c r="Q29" s="188">
        <v>256</v>
      </c>
      <c r="R29" s="188">
        <v>507</v>
      </c>
      <c r="S29" s="188">
        <v>299</v>
      </c>
      <c r="T29" s="188">
        <v>2</v>
      </c>
      <c r="U29" s="188">
        <v>90</v>
      </c>
      <c r="V29" s="188">
        <v>92</v>
      </c>
      <c r="W29" s="189" t="s">
        <v>125</v>
      </c>
      <c r="X29" s="189" t="s">
        <v>125</v>
      </c>
      <c r="Y29" s="189" t="s">
        <v>125</v>
      </c>
      <c r="Z29" s="188">
        <v>6441</v>
      </c>
      <c r="AA29" s="188">
        <v>6441</v>
      </c>
      <c r="AB29" s="188">
        <v>0</v>
      </c>
      <c r="AC29" s="188">
        <v>1402002</v>
      </c>
      <c r="AD29" s="188">
        <v>37033</v>
      </c>
      <c r="AE29" s="190">
        <v>1439035</v>
      </c>
      <c r="AY29" s="192"/>
      <c r="AZ29" s="192"/>
    </row>
    <row r="30" spans="1:52" s="191" customFormat="1" ht="15" customHeight="1">
      <c r="A30" s="187" t="s">
        <v>146</v>
      </c>
      <c r="B30" s="188">
        <v>114</v>
      </c>
      <c r="C30" s="188">
        <v>1</v>
      </c>
      <c r="D30" s="188">
        <v>0</v>
      </c>
      <c r="E30" s="188">
        <v>965</v>
      </c>
      <c r="F30" s="188">
        <v>2</v>
      </c>
      <c r="G30" s="188">
        <v>2</v>
      </c>
      <c r="H30" s="188">
        <v>1079</v>
      </c>
      <c r="I30" s="188">
        <v>3</v>
      </c>
      <c r="J30" s="188">
        <v>2</v>
      </c>
      <c r="K30" s="188">
        <v>309</v>
      </c>
      <c r="L30" s="188">
        <v>1679</v>
      </c>
      <c r="M30" s="188">
        <v>1988</v>
      </c>
      <c r="N30" s="188">
        <v>1</v>
      </c>
      <c r="O30" s="188">
        <v>1</v>
      </c>
      <c r="P30" s="188">
        <v>3</v>
      </c>
      <c r="Q30" s="188">
        <v>2</v>
      </c>
      <c r="R30" s="188">
        <v>4</v>
      </c>
      <c r="S30" s="188">
        <v>3</v>
      </c>
      <c r="T30" s="188">
        <v>0</v>
      </c>
      <c r="U30" s="188">
        <v>2</v>
      </c>
      <c r="V30" s="188">
        <v>2</v>
      </c>
      <c r="W30" s="189" t="s">
        <v>125</v>
      </c>
      <c r="X30" s="189" t="s">
        <v>125</v>
      </c>
      <c r="Y30" s="189" t="s">
        <v>125</v>
      </c>
      <c r="Z30" s="188">
        <v>1143</v>
      </c>
      <c r="AA30" s="188">
        <v>1143</v>
      </c>
      <c r="AB30" s="188">
        <v>0</v>
      </c>
      <c r="AC30" s="188">
        <v>267449</v>
      </c>
      <c r="AD30" s="188">
        <v>794</v>
      </c>
      <c r="AE30" s="190">
        <v>268243</v>
      </c>
      <c r="AY30" s="192"/>
      <c r="AZ30" s="192"/>
    </row>
    <row r="31" spans="1:52" s="191" customFormat="1" ht="15" customHeight="1">
      <c r="A31" s="187" t="s">
        <v>147</v>
      </c>
      <c r="B31" s="188">
        <v>599</v>
      </c>
      <c r="C31" s="188">
        <v>1</v>
      </c>
      <c r="D31" s="188">
        <v>0</v>
      </c>
      <c r="E31" s="188">
        <v>6014</v>
      </c>
      <c r="F31" s="188">
        <v>40</v>
      </c>
      <c r="G31" s="188">
        <v>9</v>
      </c>
      <c r="H31" s="188">
        <v>6613</v>
      </c>
      <c r="I31" s="188">
        <v>41</v>
      </c>
      <c r="J31" s="188">
        <v>9</v>
      </c>
      <c r="K31" s="188">
        <v>1517</v>
      </c>
      <c r="L31" s="188">
        <v>10761</v>
      </c>
      <c r="M31" s="188">
        <v>12278</v>
      </c>
      <c r="N31" s="188">
        <v>5</v>
      </c>
      <c r="O31" s="188">
        <v>1</v>
      </c>
      <c r="P31" s="188">
        <v>108</v>
      </c>
      <c r="Q31" s="188">
        <v>40</v>
      </c>
      <c r="R31" s="188">
        <v>113</v>
      </c>
      <c r="S31" s="188">
        <v>41</v>
      </c>
      <c r="T31" s="188">
        <v>0</v>
      </c>
      <c r="U31" s="188">
        <v>11</v>
      </c>
      <c r="V31" s="188">
        <v>11</v>
      </c>
      <c r="W31" s="189" t="s">
        <v>125</v>
      </c>
      <c r="X31" s="189" t="s">
        <v>125</v>
      </c>
      <c r="Y31" s="189" t="s">
        <v>125</v>
      </c>
      <c r="Z31" s="188">
        <v>6945</v>
      </c>
      <c r="AA31" s="188">
        <v>6945</v>
      </c>
      <c r="AB31" s="188">
        <v>0</v>
      </c>
      <c r="AC31" s="188">
        <v>1732529</v>
      </c>
      <c r="AD31" s="188">
        <v>5403</v>
      </c>
      <c r="AE31" s="190">
        <v>1737932</v>
      </c>
      <c r="AY31" s="192"/>
      <c r="AZ31" s="192"/>
    </row>
    <row r="32" spans="1:52" s="191" customFormat="1" ht="15" customHeight="1">
      <c r="A32" s="187" t="s">
        <v>148</v>
      </c>
      <c r="B32" s="188">
        <v>3957</v>
      </c>
      <c r="C32" s="188">
        <v>25</v>
      </c>
      <c r="D32" s="188">
        <v>0</v>
      </c>
      <c r="E32" s="188">
        <v>20362</v>
      </c>
      <c r="F32" s="188">
        <v>82</v>
      </c>
      <c r="G32" s="188">
        <v>14</v>
      </c>
      <c r="H32" s="188">
        <v>24319</v>
      </c>
      <c r="I32" s="188">
        <v>107</v>
      </c>
      <c r="J32" s="188">
        <v>14</v>
      </c>
      <c r="K32" s="188">
        <v>10597</v>
      </c>
      <c r="L32" s="188">
        <v>45347</v>
      </c>
      <c r="M32" s="188">
        <v>55944</v>
      </c>
      <c r="N32" s="188">
        <v>48</v>
      </c>
      <c r="O32" s="188">
        <v>26</v>
      </c>
      <c r="P32" s="188">
        <v>223</v>
      </c>
      <c r="Q32" s="188">
        <v>91</v>
      </c>
      <c r="R32" s="188">
        <v>271</v>
      </c>
      <c r="S32" s="188">
        <v>117</v>
      </c>
      <c r="T32" s="188">
        <v>0</v>
      </c>
      <c r="U32" s="188">
        <v>15</v>
      </c>
      <c r="V32" s="188">
        <v>15</v>
      </c>
      <c r="W32" s="189" t="s">
        <v>125</v>
      </c>
      <c r="X32" s="189" t="s">
        <v>125</v>
      </c>
      <c r="Y32" s="189" t="s">
        <v>125</v>
      </c>
      <c r="Z32" s="188">
        <v>25406</v>
      </c>
      <c r="AA32" s="188">
        <v>25406</v>
      </c>
      <c r="AB32" s="188">
        <v>0</v>
      </c>
      <c r="AC32" s="188">
        <v>7464662</v>
      </c>
      <c r="AD32" s="188">
        <v>11717</v>
      </c>
      <c r="AE32" s="190">
        <v>7476379</v>
      </c>
      <c r="AY32" s="192"/>
      <c r="AZ32" s="192"/>
    </row>
    <row r="33" spans="1:52" s="191" customFormat="1" ht="15" customHeight="1">
      <c r="A33" s="187" t="s">
        <v>149</v>
      </c>
      <c r="B33" s="188">
        <v>70</v>
      </c>
      <c r="C33" s="188">
        <v>1</v>
      </c>
      <c r="D33" s="188">
        <v>0</v>
      </c>
      <c r="E33" s="188">
        <v>449</v>
      </c>
      <c r="F33" s="188">
        <v>0</v>
      </c>
      <c r="G33" s="188">
        <v>0</v>
      </c>
      <c r="H33" s="188">
        <v>519</v>
      </c>
      <c r="I33" s="188">
        <v>1</v>
      </c>
      <c r="J33" s="188">
        <v>0</v>
      </c>
      <c r="K33" s="188">
        <v>172</v>
      </c>
      <c r="L33" s="188">
        <v>914</v>
      </c>
      <c r="M33" s="188">
        <v>1086</v>
      </c>
      <c r="N33" s="188">
        <v>1</v>
      </c>
      <c r="O33" s="188">
        <v>1</v>
      </c>
      <c r="P33" s="188">
        <v>0</v>
      </c>
      <c r="Q33" s="188">
        <v>0</v>
      </c>
      <c r="R33" s="188">
        <v>1</v>
      </c>
      <c r="S33" s="188">
        <v>1</v>
      </c>
      <c r="T33" s="188">
        <v>0</v>
      </c>
      <c r="U33" s="188">
        <v>0</v>
      </c>
      <c r="V33" s="188">
        <v>0</v>
      </c>
      <c r="W33" s="189" t="s">
        <v>125</v>
      </c>
      <c r="X33" s="189" t="s">
        <v>125</v>
      </c>
      <c r="Y33" s="189" t="s">
        <v>125</v>
      </c>
      <c r="Z33" s="188">
        <v>560</v>
      </c>
      <c r="AA33" s="188">
        <v>560</v>
      </c>
      <c r="AB33" s="188">
        <v>0</v>
      </c>
      <c r="AC33" s="188">
        <v>145812</v>
      </c>
      <c r="AD33" s="188">
        <v>121</v>
      </c>
      <c r="AE33" s="190">
        <v>145933</v>
      </c>
      <c r="AY33" s="192"/>
      <c r="AZ33" s="192"/>
    </row>
    <row r="34" spans="1:52" s="191" customFormat="1" ht="15" customHeight="1">
      <c r="A34" s="187" t="s">
        <v>150</v>
      </c>
      <c r="B34" s="188">
        <v>15</v>
      </c>
      <c r="C34" s="188">
        <v>0</v>
      </c>
      <c r="D34" s="188">
        <v>0</v>
      </c>
      <c r="E34" s="188">
        <v>430</v>
      </c>
      <c r="F34" s="188">
        <v>3</v>
      </c>
      <c r="G34" s="188">
        <v>0</v>
      </c>
      <c r="H34" s="188">
        <v>445</v>
      </c>
      <c r="I34" s="188">
        <v>3</v>
      </c>
      <c r="J34" s="188">
        <v>0</v>
      </c>
      <c r="K34" s="188">
        <v>41</v>
      </c>
      <c r="L34" s="188">
        <v>734</v>
      </c>
      <c r="M34" s="188">
        <v>775</v>
      </c>
      <c r="N34" s="188">
        <v>0</v>
      </c>
      <c r="O34" s="188">
        <v>0</v>
      </c>
      <c r="P34" s="188">
        <v>6</v>
      </c>
      <c r="Q34" s="188">
        <v>3</v>
      </c>
      <c r="R34" s="188">
        <v>6</v>
      </c>
      <c r="S34" s="188">
        <v>3</v>
      </c>
      <c r="T34" s="188">
        <v>0</v>
      </c>
      <c r="U34" s="188">
        <v>0</v>
      </c>
      <c r="V34" s="188">
        <v>0</v>
      </c>
      <c r="W34" s="189" t="s">
        <v>125</v>
      </c>
      <c r="X34" s="189" t="s">
        <v>125</v>
      </c>
      <c r="Y34" s="189" t="s">
        <v>125</v>
      </c>
      <c r="Z34" s="188">
        <v>471</v>
      </c>
      <c r="AA34" s="188">
        <v>471</v>
      </c>
      <c r="AB34" s="188">
        <v>0</v>
      </c>
      <c r="AC34" s="188">
        <v>107804</v>
      </c>
      <c r="AD34" s="188">
        <v>308</v>
      </c>
      <c r="AE34" s="190">
        <v>108112</v>
      </c>
      <c r="AY34" s="192"/>
      <c r="AZ34" s="192"/>
    </row>
    <row r="35" spans="1:52" s="191" customFormat="1" ht="15" customHeight="1">
      <c r="A35" s="187" t="s">
        <v>151</v>
      </c>
      <c r="B35" s="188">
        <v>2348</v>
      </c>
      <c r="C35" s="188">
        <v>18</v>
      </c>
      <c r="D35" s="188">
        <v>0</v>
      </c>
      <c r="E35" s="188">
        <v>19169</v>
      </c>
      <c r="F35" s="188">
        <v>210</v>
      </c>
      <c r="G35" s="188">
        <v>38</v>
      </c>
      <c r="H35" s="188">
        <v>21517</v>
      </c>
      <c r="I35" s="188">
        <v>228</v>
      </c>
      <c r="J35" s="188">
        <v>38</v>
      </c>
      <c r="K35" s="188">
        <v>5938</v>
      </c>
      <c r="L35" s="188">
        <v>40959</v>
      </c>
      <c r="M35" s="188">
        <v>46897</v>
      </c>
      <c r="N35" s="188">
        <v>46</v>
      </c>
      <c r="O35" s="188">
        <v>19</v>
      </c>
      <c r="P35" s="188">
        <v>564</v>
      </c>
      <c r="Q35" s="188">
        <v>238</v>
      </c>
      <c r="R35" s="188">
        <v>610</v>
      </c>
      <c r="S35" s="188">
        <v>257</v>
      </c>
      <c r="T35" s="188">
        <v>0</v>
      </c>
      <c r="U35" s="188">
        <v>47</v>
      </c>
      <c r="V35" s="188">
        <v>47</v>
      </c>
      <c r="W35" s="189" t="s">
        <v>125</v>
      </c>
      <c r="X35" s="189" t="s">
        <v>125</v>
      </c>
      <c r="Y35" s="189" t="s">
        <v>125</v>
      </c>
      <c r="Z35" s="188">
        <v>22923</v>
      </c>
      <c r="AA35" s="188">
        <v>22923</v>
      </c>
      <c r="AB35" s="188">
        <v>0</v>
      </c>
      <c r="AC35" s="188">
        <v>6180933</v>
      </c>
      <c r="AD35" s="188">
        <v>26727</v>
      </c>
      <c r="AE35" s="190">
        <v>6207660</v>
      </c>
      <c r="AY35" s="192"/>
      <c r="AZ35" s="192"/>
    </row>
    <row r="36" spans="1:52" s="191" customFormat="1" ht="15" customHeight="1">
      <c r="A36" s="187" t="s">
        <v>152</v>
      </c>
      <c r="B36" s="188">
        <v>300</v>
      </c>
      <c r="C36" s="188">
        <v>9</v>
      </c>
      <c r="D36" s="188">
        <v>0</v>
      </c>
      <c r="E36" s="188">
        <v>3172</v>
      </c>
      <c r="F36" s="188">
        <v>42</v>
      </c>
      <c r="G36" s="188">
        <v>9</v>
      </c>
      <c r="H36" s="188">
        <v>3472</v>
      </c>
      <c r="I36" s="188">
        <v>51</v>
      </c>
      <c r="J36" s="188">
        <v>9</v>
      </c>
      <c r="K36" s="188">
        <v>729</v>
      </c>
      <c r="L36" s="188">
        <v>6312</v>
      </c>
      <c r="M36" s="188">
        <v>7041</v>
      </c>
      <c r="N36" s="188">
        <v>20</v>
      </c>
      <c r="O36" s="188">
        <v>11</v>
      </c>
      <c r="P36" s="188">
        <v>117</v>
      </c>
      <c r="Q36" s="188">
        <v>45</v>
      </c>
      <c r="R36" s="188">
        <v>137</v>
      </c>
      <c r="S36" s="188">
        <v>56</v>
      </c>
      <c r="T36" s="188">
        <v>0</v>
      </c>
      <c r="U36" s="188">
        <v>12</v>
      </c>
      <c r="V36" s="188">
        <v>12</v>
      </c>
      <c r="W36" s="189" t="s">
        <v>125</v>
      </c>
      <c r="X36" s="189" t="s">
        <v>125</v>
      </c>
      <c r="Y36" s="189" t="s">
        <v>125</v>
      </c>
      <c r="Z36" s="188">
        <v>3710</v>
      </c>
      <c r="AA36" s="188">
        <v>3710</v>
      </c>
      <c r="AB36" s="188">
        <v>0</v>
      </c>
      <c r="AC36" s="188">
        <v>888095</v>
      </c>
      <c r="AD36" s="188">
        <v>5308</v>
      </c>
      <c r="AE36" s="190">
        <v>893403</v>
      </c>
      <c r="AY36" s="192"/>
      <c r="AZ36" s="192"/>
    </row>
    <row r="37" spans="1:52" s="191" customFormat="1" ht="15" customHeight="1">
      <c r="A37" s="187" t="s">
        <v>153</v>
      </c>
      <c r="B37" s="188">
        <v>269</v>
      </c>
      <c r="C37" s="188">
        <v>0</v>
      </c>
      <c r="D37" s="188">
        <v>0</v>
      </c>
      <c r="E37" s="188">
        <v>4090</v>
      </c>
      <c r="F37" s="188">
        <v>11</v>
      </c>
      <c r="G37" s="188">
        <v>3</v>
      </c>
      <c r="H37" s="188">
        <v>4359</v>
      </c>
      <c r="I37" s="188">
        <v>11</v>
      </c>
      <c r="J37" s="188">
        <v>3</v>
      </c>
      <c r="K37" s="188">
        <v>678</v>
      </c>
      <c r="L37" s="188">
        <v>6960</v>
      </c>
      <c r="M37" s="188">
        <v>7638</v>
      </c>
      <c r="N37" s="188">
        <v>0</v>
      </c>
      <c r="O37" s="188">
        <v>0</v>
      </c>
      <c r="P37" s="188">
        <v>29</v>
      </c>
      <c r="Q37" s="188">
        <v>13</v>
      </c>
      <c r="R37" s="188">
        <v>29</v>
      </c>
      <c r="S37" s="188">
        <v>13</v>
      </c>
      <c r="T37" s="188">
        <v>0</v>
      </c>
      <c r="U37" s="188">
        <v>4</v>
      </c>
      <c r="V37" s="188">
        <v>4</v>
      </c>
      <c r="W37" s="189" t="s">
        <v>125</v>
      </c>
      <c r="X37" s="189" t="s">
        <v>125</v>
      </c>
      <c r="Y37" s="189" t="s">
        <v>125</v>
      </c>
      <c r="Z37" s="188">
        <v>4584</v>
      </c>
      <c r="AA37" s="188">
        <v>4584</v>
      </c>
      <c r="AB37" s="188">
        <v>0</v>
      </c>
      <c r="AC37" s="188">
        <v>1053650</v>
      </c>
      <c r="AD37" s="188">
        <v>1479</v>
      </c>
      <c r="AE37" s="190">
        <v>1055129</v>
      </c>
      <c r="AY37" s="192"/>
      <c r="AZ37" s="192"/>
    </row>
    <row r="38" spans="1:52" s="191" customFormat="1" ht="15" customHeight="1">
      <c r="A38" s="187" t="s">
        <v>154</v>
      </c>
      <c r="B38" s="188">
        <v>10836</v>
      </c>
      <c r="C38" s="188">
        <v>226</v>
      </c>
      <c r="D38" s="188">
        <v>5</v>
      </c>
      <c r="E38" s="188">
        <v>109285</v>
      </c>
      <c r="F38" s="188">
        <v>2064</v>
      </c>
      <c r="G38" s="188">
        <v>1157</v>
      </c>
      <c r="H38" s="188">
        <v>120121</v>
      </c>
      <c r="I38" s="188">
        <v>2290</v>
      </c>
      <c r="J38" s="188">
        <v>1162</v>
      </c>
      <c r="K38" s="188">
        <v>27689</v>
      </c>
      <c r="L38" s="188">
        <v>215839</v>
      </c>
      <c r="M38" s="188">
        <v>243528</v>
      </c>
      <c r="N38" s="188">
        <v>521</v>
      </c>
      <c r="O38" s="188">
        <v>318</v>
      </c>
      <c r="P38" s="188">
        <v>4491</v>
      </c>
      <c r="Q38" s="188">
        <v>2540</v>
      </c>
      <c r="R38" s="188">
        <v>5012</v>
      </c>
      <c r="S38" s="188">
        <v>2858</v>
      </c>
      <c r="T38" s="188">
        <v>7</v>
      </c>
      <c r="U38" s="188">
        <v>1557</v>
      </c>
      <c r="V38" s="188">
        <v>1564</v>
      </c>
      <c r="W38" s="189" t="s">
        <v>125</v>
      </c>
      <c r="X38" s="189" t="s">
        <v>125</v>
      </c>
      <c r="Y38" s="189" t="s">
        <v>125</v>
      </c>
      <c r="Z38" s="188">
        <v>129175</v>
      </c>
      <c r="AA38" s="188">
        <v>129175</v>
      </c>
      <c r="AB38" s="188">
        <v>0</v>
      </c>
      <c r="AC38" s="188">
        <v>33677027</v>
      </c>
      <c r="AD38" s="188">
        <v>505907</v>
      </c>
      <c r="AE38" s="190">
        <v>34182934</v>
      </c>
      <c r="AY38" s="192"/>
      <c r="AZ38" s="192"/>
    </row>
    <row r="39" spans="1:52" s="191" customFormat="1" ht="15" customHeight="1">
      <c r="A39" s="187" t="s">
        <v>155</v>
      </c>
      <c r="B39" s="188">
        <v>708</v>
      </c>
      <c r="C39" s="188">
        <v>12</v>
      </c>
      <c r="D39" s="188">
        <v>1</v>
      </c>
      <c r="E39" s="188">
        <v>8616</v>
      </c>
      <c r="F39" s="188">
        <v>36</v>
      </c>
      <c r="G39" s="188">
        <v>24</v>
      </c>
      <c r="H39" s="188">
        <v>9324</v>
      </c>
      <c r="I39" s="188">
        <v>48</v>
      </c>
      <c r="J39" s="188">
        <v>25</v>
      </c>
      <c r="K39" s="188">
        <v>1826</v>
      </c>
      <c r="L39" s="188">
        <v>15663</v>
      </c>
      <c r="M39" s="188">
        <v>17489</v>
      </c>
      <c r="N39" s="188">
        <v>24</v>
      </c>
      <c r="O39" s="188">
        <v>18</v>
      </c>
      <c r="P39" s="188">
        <v>82</v>
      </c>
      <c r="Q39" s="188">
        <v>39</v>
      </c>
      <c r="R39" s="188">
        <v>106</v>
      </c>
      <c r="S39" s="188">
        <v>57</v>
      </c>
      <c r="T39" s="188">
        <v>2</v>
      </c>
      <c r="U39" s="188">
        <v>38</v>
      </c>
      <c r="V39" s="188">
        <v>40</v>
      </c>
      <c r="W39" s="189" t="s">
        <v>125</v>
      </c>
      <c r="X39" s="189" t="s">
        <v>125</v>
      </c>
      <c r="Y39" s="189" t="s">
        <v>125</v>
      </c>
      <c r="Z39" s="188">
        <v>9854</v>
      </c>
      <c r="AA39" s="188">
        <v>9854</v>
      </c>
      <c r="AB39" s="188">
        <v>0</v>
      </c>
      <c r="AC39" s="188">
        <v>2274436</v>
      </c>
      <c r="AD39" s="188">
        <v>12236</v>
      </c>
      <c r="AE39" s="190">
        <v>2286672</v>
      </c>
      <c r="AY39" s="192"/>
      <c r="AZ39" s="192"/>
    </row>
    <row r="40" spans="1:52" s="191" customFormat="1" ht="15" customHeight="1">
      <c r="A40" s="187" t="s">
        <v>156</v>
      </c>
      <c r="B40" s="188">
        <v>81</v>
      </c>
      <c r="C40" s="188">
        <v>0</v>
      </c>
      <c r="D40" s="188">
        <v>0</v>
      </c>
      <c r="E40" s="188">
        <v>1019</v>
      </c>
      <c r="F40" s="188">
        <v>1</v>
      </c>
      <c r="G40" s="188">
        <v>0</v>
      </c>
      <c r="H40" s="188">
        <v>1100</v>
      </c>
      <c r="I40" s="188">
        <v>1</v>
      </c>
      <c r="J40" s="188">
        <v>0</v>
      </c>
      <c r="K40" s="188">
        <v>187</v>
      </c>
      <c r="L40" s="188">
        <v>1834</v>
      </c>
      <c r="M40" s="188">
        <v>2021</v>
      </c>
      <c r="N40" s="188">
        <v>0</v>
      </c>
      <c r="O40" s="188">
        <v>0</v>
      </c>
      <c r="P40" s="188">
        <v>3</v>
      </c>
      <c r="Q40" s="188">
        <v>1</v>
      </c>
      <c r="R40" s="188">
        <v>3</v>
      </c>
      <c r="S40" s="188">
        <v>1</v>
      </c>
      <c r="T40" s="188">
        <v>0</v>
      </c>
      <c r="U40" s="188">
        <v>0</v>
      </c>
      <c r="V40" s="188">
        <v>0</v>
      </c>
      <c r="W40" s="189" t="s">
        <v>125</v>
      </c>
      <c r="X40" s="189" t="s">
        <v>125</v>
      </c>
      <c r="Y40" s="189" t="s">
        <v>125</v>
      </c>
      <c r="Z40" s="188">
        <v>1137</v>
      </c>
      <c r="AA40" s="188">
        <v>1137</v>
      </c>
      <c r="AB40" s="188">
        <v>0</v>
      </c>
      <c r="AC40" s="188">
        <v>278841</v>
      </c>
      <c r="AD40" s="188">
        <v>0</v>
      </c>
      <c r="AE40" s="190">
        <v>278841</v>
      </c>
      <c r="AY40" s="192"/>
      <c r="AZ40" s="192"/>
    </row>
    <row r="41" spans="1:52" s="191" customFormat="1" ht="15" customHeight="1">
      <c r="A41" s="187" t="s">
        <v>157</v>
      </c>
      <c r="B41" s="188">
        <v>15215</v>
      </c>
      <c r="C41" s="188">
        <v>107</v>
      </c>
      <c r="D41" s="188">
        <v>14</v>
      </c>
      <c r="E41" s="188">
        <v>112369</v>
      </c>
      <c r="F41" s="188">
        <v>847</v>
      </c>
      <c r="G41" s="188">
        <v>195</v>
      </c>
      <c r="H41" s="188">
        <v>127584</v>
      </c>
      <c r="I41" s="188">
        <v>954</v>
      </c>
      <c r="J41" s="188">
        <v>209</v>
      </c>
      <c r="K41" s="188">
        <v>41221</v>
      </c>
      <c r="L41" s="188">
        <v>241188</v>
      </c>
      <c r="M41" s="188">
        <v>282409</v>
      </c>
      <c r="N41" s="188">
        <v>271</v>
      </c>
      <c r="O41" s="188">
        <v>131</v>
      </c>
      <c r="P41" s="188">
        <v>2413</v>
      </c>
      <c r="Q41" s="188">
        <v>942</v>
      </c>
      <c r="R41" s="188">
        <v>2684</v>
      </c>
      <c r="S41" s="188">
        <v>1073</v>
      </c>
      <c r="T41" s="188">
        <v>17</v>
      </c>
      <c r="U41" s="188">
        <v>244</v>
      </c>
      <c r="V41" s="188">
        <v>261</v>
      </c>
      <c r="W41" s="189" t="s">
        <v>125</v>
      </c>
      <c r="X41" s="189" t="s">
        <v>125</v>
      </c>
      <c r="Y41" s="189" t="s">
        <v>125</v>
      </c>
      <c r="Z41" s="188">
        <v>134769</v>
      </c>
      <c r="AA41" s="188">
        <v>134769</v>
      </c>
      <c r="AB41" s="188">
        <v>0</v>
      </c>
      <c r="AC41" s="188">
        <v>38023757</v>
      </c>
      <c r="AD41" s="188">
        <v>128447</v>
      </c>
      <c r="AE41" s="190">
        <v>38152204</v>
      </c>
      <c r="AY41" s="192"/>
      <c r="AZ41" s="192"/>
    </row>
    <row r="42" spans="1:52" s="191" customFormat="1" ht="15" customHeight="1">
      <c r="A42" s="187" t="s">
        <v>158</v>
      </c>
      <c r="B42" s="188">
        <v>14232</v>
      </c>
      <c r="C42" s="188">
        <v>557</v>
      </c>
      <c r="D42" s="188">
        <v>6</v>
      </c>
      <c r="E42" s="188">
        <v>85777</v>
      </c>
      <c r="F42" s="188">
        <v>1063</v>
      </c>
      <c r="G42" s="188">
        <v>599</v>
      </c>
      <c r="H42" s="188">
        <v>100009</v>
      </c>
      <c r="I42" s="188">
        <v>1620</v>
      </c>
      <c r="J42" s="188">
        <v>605</v>
      </c>
      <c r="K42" s="188">
        <v>36506</v>
      </c>
      <c r="L42" s="188">
        <v>169742</v>
      </c>
      <c r="M42" s="188">
        <v>206248</v>
      </c>
      <c r="N42" s="188">
        <v>1277</v>
      </c>
      <c r="O42" s="188">
        <v>905</v>
      </c>
      <c r="P42" s="188">
        <v>2429</v>
      </c>
      <c r="Q42" s="188">
        <v>1511</v>
      </c>
      <c r="R42" s="188">
        <v>3706</v>
      </c>
      <c r="S42" s="188">
        <v>2416</v>
      </c>
      <c r="T42" s="188">
        <v>13</v>
      </c>
      <c r="U42" s="188">
        <v>790</v>
      </c>
      <c r="V42" s="188">
        <v>803</v>
      </c>
      <c r="W42" s="189" t="s">
        <v>125</v>
      </c>
      <c r="X42" s="189" t="s">
        <v>125</v>
      </c>
      <c r="Y42" s="189" t="s">
        <v>125</v>
      </c>
      <c r="Z42" s="188">
        <v>116949</v>
      </c>
      <c r="AA42" s="188">
        <v>116949</v>
      </c>
      <c r="AB42" s="188">
        <v>0</v>
      </c>
      <c r="AC42" s="188">
        <v>30108859</v>
      </c>
      <c r="AD42" s="188">
        <v>390544</v>
      </c>
      <c r="AE42" s="190">
        <v>30499403</v>
      </c>
      <c r="AY42" s="192"/>
      <c r="AZ42" s="192"/>
    </row>
    <row r="43" spans="1:52" s="191" customFormat="1" ht="15" customHeight="1">
      <c r="A43" s="187" t="s">
        <v>159</v>
      </c>
      <c r="B43" s="188">
        <v>255</v>
      </c>
      <c r="C43" s="188">
        <v>3</v>
      </c>
      <c r="D43" s="188">
        <v>0</v>
      </c>
      <c r="E43" s="188">
        <v>2236</v>
      </c>
      <c r="F43" s="188">
        <v>18</v>
      </c>
      <c r="G43" s="188">
        <v>2</v>
      </c>
      <c r="H43" s="188">
        <v>2491</v>
      </c>
      <c r="I43" s="188">
        <v>21</v>
      </c>
      <c r="J43" s="188">
        <v>2</v>
      </c>
      <c r="K43" s="188">
        <v>656</v>
      </c>
      <c r="L43" s="188">
        <v>4793</v>
      </c>
      <c r="M43" s="188">
        <v>5449</v>
      </c>
      <c r="N43" s="188">
        <v>5</v>
      </c>
      <c r="O43" s="188">
        <v>3</v>
      </c>
      <c r="P43" s="188">
        <v>48</v>
      </c>
      <c r="Q43" s="188">
        <v>20</v>
      </c>
      <c r="R43" s="188">
        <v>53</v>
      </c>
      <c r="S43" s="188">
        <v>23</v>
      </c>
      <c r="T43" s="188">
        <v>0</v>
      </c>
      <c r="U43" s="188">
        <v>2</v>
      </c>
      <c r="V43" s="188">
        <v>2</v>
      </c>
      <c r="W43" s="189" t="s">
        <v>125</v>
      </c>
      <c r="X43" s="189" t="s">
        <v>125</v>
      </c>
      <c r="Y43" s="189" t="s">
        <v>125</v>
      </c>
      <c r="Z43" s="188">
        <v>2626</v>
      </c>
      <c r="AA43" s="188">
        <v>2626</v>
      </c>
      <c r="AB43" s="188">
        <v>0</v>
      </c>
      <c r="AC43" s="188">
        <v>704446</v>
      </c>
      <c r="AD43" s="188">
        <v>1606</v>
      </c>
      <c r="AE43" s="190">
        <v>706052</v>
      </c>
      <c r="AY43" s="192"/>
      <c r="AZ43" s="192"/>
    </row>
    <row r="44" spans="1:52" s="191" customFormat="1" ht="15" customHeight="1">
      <c r="A44" s="187" t="s">
        <v>160</v>
      </c>
      <c r="B44" s="188">
        <v>24793</v>
      </c>
      <c r="C44" s="188">
        <v>169</v>
      </c>
      <c r="D44" s="188">
        <v>8</v>
      </c>
      <c r="E44" s="188">
        <v>153168</v>
      </c>
      <c r="F44" s="188">
        <v>911</v>
      </c>
      <c r="G44" s="188">
        <v>372</v>
      </c>
      <c r="H44" s="188">
        <v>177961</v>
      </c>
      <c r="I44" s="188">
        <v>1080</v>
      </c>
      <c r="J44" s="188">
        <v>380</v>
      </c>
      <c r="K44" s="188">
        <v>65854</v>
      </c>
      <c r="L44" s="188">
        <v>321277</v>
      </c>
      <c r="M44" s="188">
        <v>387131</v>
      </c>
      <c r="N44" s="188">
        <v>422</v>
      </c>
      <c r="O44" s="188">
        <v>192</v>
      </c>
      <c r="P44" s="188">
        <v>2389</v>
      </c>
      <c r="Q44" s="188">
        <v>1086</v>
      </c>
      <c r="R44" s="188">
        <v>2811</v>
      </c>
      <c r="S44" s="188">
        <v>1278</v>
      </c>
      <c r="T44" s="188">
        <v>9</v>
      </c>
      <c r="U44" s="188">
        <v>485</v>
      </c>
      <c r="V44" s="188">
        <v>494</v>
      </c>
      <c r="W44" s="189" t="s">
        <v>125</v>
      </c>
      <c r="X44" s="189" t="s">
        <v>125</v>
      </c>
      <c r="Y44" s="189" t="s">
        <v>125</v>
      </c>
      <c r="Z44" s="188">
        <v>186514</v>
      </c>
      <c r="AA44" s="188">
        <v>186514</v>
      </c>
      <c r="AB44" s="188">
        <v>0</v>
      </c>
      <c r="AC44" s="188">
        <v>53320746</v>
      </c>
      <c r="AD44" s="188">
        <v>190585</v>
      </c>
      <c r="AE44" s="190">
        <v>53511331</v>
      </c>
      <c r="AY44" s="192"/>
      <c r="AZ44" s="192"/>
    </row>
    <row r="45" spans="1:52" s="191" customFormat="1" ht="15" customHeight="1">
      <c r="A45" s="187" t="s">
        <v>161</v>
      </c>
      <c r="B45" s="188">
        <v>13368</v>
      </c>
      <c r="C45" s="188">
        <v>327</v>
      </c>
      <c r="D45" s="188">
        <v>7</v>
      </c>
      <c r="E45" s="188">
        <v>126313</v>
      </c>
      <c r="F45" s="188">
        <v>1736</v>
      </c>
      <c r="G45" s="188">
        <v>773</v>
      </c>
      <c r="H45" s="188">
        <v>139681</v>
      </c>
      <c r="I45" s="188">
        <v>2063</v>
      </c>
      <c r="J45" s="188">
        <v>780</v>
      </c>
      <c r="K45" s="188">
        <v>36405</v>
      </c>
      <c r="L45" s="188">
        <v>241948</v>
      </c>
      <c r="M45" s="188">
        <v>278353</v>
      </c>
      <c r="N45" s="188">
        <v>701</v>
      </c>
      <c r="O45" s="188">
        <v>435</v>
      </c>
      <c r="P45" s="188">
        <v>4193</v>
      </c>
      <c r="Q45" s="188">
        <v>2015</v>
      </c>
      <c r="R45" s="188">
        <v>4894</v>
      </c>
      <c r="S45" s="188">
        <v>2450</v>
      </c>
      <c r="T45" s="188">
        <v>18</v>
      </c>
      <c r="U45" s="188">
        <v>970</v>
      </c>
      <c r="V45" s="188">
        <v>988</v>
      </c>
      <c r="W45" s="189" t="s">
        <v>125</v>
      </c>
      <c r="X45" s="189" t="s">
        <v>125</v>
      </c>
      <c r="Y45" s="189" t="s">
        <v>125</v>
      </c>
      <c r="Z45" s="188">
        <v>167141</v>
      </c>
      <c r="AA45" s="188">
        <v>167141</v>
      </c>
      <c r="AB45" s="188">
        <v>0</v>
      </c>
      <c r="AC45" s="188">
        <v>38271583</v>
      </c>
      <c r="AD45" s="188">
        <v>375278</v>
      </c>
      <c r="AE45" s="190">
        <v>38646861</v>
      </c>
      <c r="AY45" s="192"/>
      <c r="AZ45" s="192"/>
    </row>
    <row r="46" spans="1:52" s="191" customFormat="1" ht="15" customHeight="1">
      <c r="A46" s="187" t="s">
        <v>162</v>
      </c>
      <c r="B46" s="188">
        <v>2098</v>
      </c>
      <c r="C46" s="188">
        <v>129</v>
      </c>
      <c r="D46" s="188">
        <v>7</v>
      </c>
      <c r="E46" s="188">
        <v>30978</v>
      </c>
      <c r="F46" s="188">
        <v>821</v>
      </c>
      <c r="G46" s="188">
        <v>1160</v>
      </c>
      <c r="H46" s="188">
        <v>33076</v>
      </c>
      <c r="I46" s="188">
        <v>950</v>
      </c>
      <c r="J46" s="188">
        <v>1167</v>
      </c>
      <c r="K46" s="188">
        <v>4563</v>
      </c>
      <c r="L46" s="188">
        <v>44517</v>
      </c>
      <c r="M46" s="188">
        <v>49080</v>
      </c>
      <c r="N46" s="188">
        <v>240</v>
      </c>
      <c r="O46" s="188">
        <v>154</v>
      </c>
      <c r="P46" s="188">
        <v>1515</v>
      </c>
      <c r="Q46" s="188">
        <v>1028</v>
      </c>
      <c r="R46" s="188">
        <v>1755</v>
      </c>
      <c r="S46" s="188">
        <v>1182</v>
      </c>
      <c r="T46" s="188">
        <v>13</v>
      </c>
      <c r="U46" s="188">
        <v>1185</v>
      </c>
      <c r="V46" s="188">
        <v>1198</v>
      </c>
      <c r="W46" s="189" t="s">
        <v>125</v>
      </c>
      <c r="X46" s="189" t="s">
        <v>125</v>
      </c>
      <c r="Y46" s="189" t="s">
        <v>125</v>
      </c>
      <c r="Z46" s="188">
        <v>38593</v>
      </c>
      <c r="AA46" s="188">
        <v>38593</v>
      </c>
      <c r="AB46" s="188">
        <v>0</v>
      </c>
      <c r="AC46" s="188">
        <v>7479527</v>
      </c>
      <c r="AD46" s="188">
        <v>299998</v>
      </c>
      <c r="AE46" s="190">
        <v>7779525</v>
      </c>
      <c r="AY46" s="192"/>
      <c r="AZ46" s="192"/>
    </row>
    <row r="47" spans="1:52" s="191" customFormat="1" ht="15" customHeight="1">
      <c r="A47" s="187" t="s">
        <v>163</v>
      </c>
      <c r="B47" s="188">
        <v>7243</v>
      </c>
      <c r="C47" s="188">
        <v>74</v>
      </c>
      <c r="D47" s="188">
        <v>0</v>
      </c>
      <c r="E47" s="188">
        <v>43663</v>
      </c>
      <c r="F47" s="188">
        <v>477</v>
      </c>
      <c r="G47" s="188">
        <v>153</v>
      </c>
      <c r="H47" s="188">
        <v>50906</v>
      </c>
      <c r="I47" s="188">
        <v>551</v>
      </c>
      <c r="J47" s="188">
        <v>153</v>
      </c>
      <c r="K47" s="188">
        <v>18247</v>
      </c>
      <c r="L47" s="188">
        <v>95106</v>
      </c>
      <c r="M47" s="188">
        <v>113353</v>
      </c>
      <c r="N47" s="188">
        <v>190</v>
      </c>
      <c r="O47" s="188">
        <v>86</v>
      </c>
      <c r="P47" s="188">
        <v>1324</v>
      </c>
      <c r="Q47" s="188">
        <v>585</v>
      </c>
      <c r="R47" s="188">
        <v>1514</v>
      </c>
      <c r="S47" s="188">
        <v>671</v>
      </c>
      <c r="T47" s="188">
        <v>0</v>
      </c>
      <c r="U47" s="188">
        <v>222</v>
      </c>
      <c r="V47" s="188">
        <v>222</v>
      </c>
      <c r="W47" s="189" t="s">
        <v>125</v>
      </c>
      <c r="X47" s="189" t="s">
        <v>125</v>
      </c>
      <c r="Y47" s="189" t="s">
        <v>125</v>
      </c>
      <c r="Z47" s="188">
        <v>53563</v>
      </c>
      <c r="AA47" s="188">
        <v>53563</v>
      </c>
      <c r="AB47" s="188">
        <v>0</v>
      </c>
      <c r="AC47" s="188">
        <v>15443664</v>
      </c>
      <c r="AD47" s="188">
        <v>95200</v>
      </c>
      <c r="AE47" s="190">
        <v>15538864</v>
      </c>
      <c r="AY47" s="192"/>
      <c r="AZ47" s="192"/>
    </row>
    <row r="48" spans="1:52" s="191" customFormat="1" ht="15" customHeight="1">
      <c r="A48" s="187" t="s">
        <v>164</v>
      </c>
      <c r="B48" s="188">
        <v>884</v>
      </c>
      <c r="C48" s="188">
        <v>5</v>
      </c>
      <c r="D48" s="188">
        <v>0</v>
      </c>
      <c r="E48" s="188">
        <v>9027</v>
      </c>
      <c r="F48" s="188">
        <v>40</v>
      </c>
      <c r="G48" s="188">
        <v>6</v>
      </c>
      <c r="H48" s="188">
        <v>9911</v>
      </c>
      <c r="I48" s="188">
        <v>45</v>
      </c>
      <c r="J48" s="188">
        <v>6</v>
      </c>
      <c r="K48" s="188">
        <v>2206</v>
      </c>
      <c r="L48" s="188">
        <v>15717</v>
      </c>
      <c r="M48" s="188">
        <v>17923</v>
      </c>
      <c r="N48" s="188">
        <v>19</v>
      </c>
      <c r="O48" s="188">
        <v>6</v>
      </c>
      <c r="P48" s="188">
        <v>99</v>
      </c>
      <c r="Q48" s="188">
        <v>49</v>
      </c>
      <c r="R48" s="188">
        <v>118</v>
      </c>
      <c r="S48" s="188">
        <v>55</v>
      </c>
      <c r="T48" s="188">
        <v>0</v>
      </c>
      <c r="U48" s="188">
        <v>8</v>
      </c>
      <c r="V48" s="188">
        <v>8</v>
      </c>
      <c r="W48" s="189" t="s">
        <v>125</v>
      </c>
      <c r="X48" s="189" t="s">
        <v>125</v>
      </c>
      <c r="Y48" s="189" t="s">
        <v>125</v>
      </c>
      <c r="Z48" s="188">
        <v>10211</v>
      </c>
      <c r="AA48" s="188">
        <v>10211</v>
      </c>
      <c r="AB48" s="188">
        <v>0</v>
      </c>
      <c r="AC48" s="188">
        <v>2438769</v>
      </c>
      <c r="AD48" s="188">
        <v>4379</v>
      </c>
      <c r="AE48" s="190">
        <v>2443148</v>
      </c>
      <c r="AY48" s="192"/>
      <c r="AZ48" s="192"/>
    </row>
    <row r="49" spans="1:52" s="191" customFormat="1" ht="15" customHeight="1">
      <c r="A49" s="187" t="s">
        <v>165</v>
      </c>
      <c r="B49" s="188">
        <v>876</v>
      </c>
      <c r="C49" s="188">
        <v>28</v>
      </c>
      <c r="D49" s="188">
        <v>1</v>
      </c>
      <c r="E49" s="188">
        <v>13562</v>
      </c>
      <c r="F49" s="188">
        <v>447</v>
      </c>
      <c r="G49" s="188">
        <v>182</v>
      </c>
      <c r="H49" s="188">
        <v>14438</v>
      </c>
      <c r="I49" s="188">
        <v>475</v>
      </c>
      <c r="J49" s="188">
        <v>183</v>
      </c>
      <c r="K49" s="188">
        <v>2051</v>
      </c>
      <c r="L49" s="188">
        <v>25236</v>
      </c>
      <c r="M49" s="188">
        <v>27287</v>
      </c>
      <c r="N49" s="188">
        <v>75</v>
      </c>
      <c r="O49" s="188">
        <v>31</v>
      </c>
      <c r="P49" s="188">
        <v>1061</v>
      </c>
      <c r="Q49" s="188">
        <v>556</v>
      </c>
      <c r="R49" s="188">
        <v>1136</v>
      </c>
      <c r="S49" s="188">
        <v>587</v>
      </c>
      <c r="T49" s="188">
        <v>1</v>
      </c>
      <c r="U49" s="188">
        <v>245</v>
      </c>
      <c r="V49" s="188">
        <v>246</v>
      </c>
      <c r="W49" s="189" t="s">
        <v>125</v>
      </c>
      <c r="X49" s="189" t="s">
        <v>125</v>
      </c>
      <c r="Y49" s="189" t="s">
        <v>125</v>
      </c>
      <c r="Z49" s="188">
        <v>17506</v>
      </c>
      <c r="AA49" s="188">
        <v>17506</v>
      </c>
      <c r="AB49" s="188">
        <v>0</v>
      </c>
      <c r="AC49" s="188">
        <v>3739768</v>
      </c>
      <c r="AD49" s="188">
        <v>82020</v>
      </c>
      <c r="AE49" s="190">
        <v>3821788</v>
      </c>
      <c r="AY49" s="192"/>
      <c r="AZ49" s="192"/>
    </row>
    <row r="50" spans="1:52" s="191" customFormat="1" ht="15" customHeight="1">
      <c r="A50" s="187" t="s">
        <v>166</v>
      </c>
      <c r="B50" s="188">
        <v>2039</v>
      </c>
      <c r="C50" s="188">
        <v>18</v>
      </c>
      <c r="D50" s="188">
        <v>0</v>
      </c>
      <c r="E50" s="188">
        <v>16079</v>
      </c>
      <c r="F50" s="188">
        <v>126</v>
      </c>
      <c r="G50" s="188">
        <v>63</v>
      </c>
      <c r="H50" s="188">
        <v>18118</v>
      </c>
      <c r="I50" s="188">
        <v>144</v>
      </c>
      <c r="J50" s="188">
        <v>63</v>
      </c>
      <c r="K50" s="188">
        <v>5254</v>
      </c>
      <c r="L50" s="188">
        <v>32010</v>
      </c>
      <c r="M50" s="188">
        <v>37264</v>
      </c>
      <c r="N50" s="188">
        <v>39</v>
      </c>
      <c r="O50" s="188">
        <v>18</v>
      </c>
      <c r="P50" s="188">
        <v>335</v>
      </c>
      <c r="Q50" s="188">
        <v>138</v>
      </c>
      <c r="R50" s="188">
        <v>374</v>
      </c>
      <c r="S50" s="188">
        <v>156</v>
      </c>
      <c r="T50" s="188">
        <v>0</v>
      </c>
      <c r="U50" s="188">
        <v>80</v>
      </c>
      <c r="V50" s="188">
        <v>80</v>
      </c>
      <c r="W50" s="189" t="s">
        <v>125</v>
      </c>
      <c r="X50" s="189" t="s">
        <v>125</v>
      </c>
      <c r="Y50" s="189" t="s">
        <v>125</v>
      </c>
      <c r="Z50" s="188">
        <v>21461</v>
      </c>
      <c r="AA50" s="188">
        <v>21461</v>
      </c>
      <c r="AB50" s="188">
        <v>0</v>
      </c>
      <c r="AC50" s="188">
        <v>5032135</v>
      </c>
      <c r="AD50" s="188">
        <v>26671</v>
      </c>
      <c r="AE50" s="190">
        <v>5058806</v>
      </c>
      <c r="AY50" s="192"/>
      <c r="AZ50" s="192"/>
    </row>
    <row r="51" spans="1:52" s="191" customFormat="1" ht="15" customHeight="1">
      <c r="A51" s="187" t="s">
        <v>167</v>
      </c>
      <c r="B51" s="188">
        <v>4339</v>
      </c>
      <c r="C51" s="188">
        <v>108</v>
      </c>
      <c r="D51" s="188">
        <v>4</v>
      </c>
      <c r="E51" s="188">
        <v>46796</v>
      </c>
      <c r="F51" s="188">
        <v>835</v>
      </c>
      <c r="G51" s="188">
        <v>665</v>
      </c>
      <c r="H51" s="188">
        <v>51135</v>
      </c>
      <c r="I51" s="188">
        <v>943</v>
      </c>
      <c r="J51" s="188">
        <v>669</v>
      </c>
      <c r="K51" s="188">
        <v>10384</v>
      </c>
      <c r="L51" s="188">
        <v>88807</v>
      </c>
      <c r="M51" s="188">
        <v>99191</v>
      </c>
      <c r="N51" s="188">
        <v>229</v>
      </c>
      <c r="O51" s="188">
        <v>131</v>
      </c>
      <c r="P51" s="188">
        <v>1798</v>
      </c>
      <c r="Q51" s="188">
        <v>1119</v>
      </c>
      <c r="R51" s="188">
        <v>2027</v>
      </c>
      <c r="S51" s="188">
        <v>1250</v>
      </c>
      <c r="T51" s="188">
        <v>7</v>
      </c>
      <c r="U51" s="188">
        <v>955</v>
      </c>
      <c r="V51" s="188">
        <v>962</v>
      </c>
      <c r="W51" s="189" t="s">
        <v>125</v>
      </c>
      <c r="X51" s="189" t="s">
        <v>125</v>
      </c>
      <c r="Y51" s="189" t="s">
        <v>125</v>
      </c>
      <c r="Z51" s="188">
        <v>54724</v>
      </c>
      <c r="AA51" s="188">
        <v>54724</v>
      </c>
      <c r="AB51" s="188">
        <v>0</v>
      </c>
      <c r="AC51" s="188">
        <v>13784476</v>
      </c>
      <c r="AD51" s="188">
        <v>262668</v>
      </c>
      <c r="AE51" s="190">
        <v>14047144</v>
      </c>
      <c r="AY51" s="192"/>
      <c r="AZ51" s="192"/>
    </row>
    <row r="52" spans="1:52" s="191" customFormat="1" ht="15" customHeight="1">
      <c r="A52" s="187" t="s">
        <v>168</v>
      </c>
      <c r="B52" s="188">
        <v>1073</v>
      </c>
      <c r="C52" s="188">
        <v>4</v>
      </c>
      <c r="D52" s="188">
        <v>0</v>
      </c>
      <c r="E52" s="188">
        <v>13365</v>
      </c>
      <c r="F52" s="188">
        <v>49</v>
      </c>
      <c r="G52" s="188">
        <v>9</v>
      </c>
      <c r="H52" s="188">
        <v>14438</v>
      </c>
      <c r="I52" s="188">
        <v>53</v>
      </c>
      <c r="J52" s="188">
        <v>9</v>
      </c>
      <c r="K52" s="188">
        <v>2640</v>
      </c>
      <c r="L52" s="188">
        <v>23512</v>
      </c>
      <c r="M52" s="188">
        <v>26152</v>
      </c>
      <c r="N52" s="188">
        <v>10</v>
      </c>
      <c r="O52" s="188">
        <v>4</v>
      </c>
      <c r="P52" s="188">
        <v>104</v>
      </c>
      <c r="Q52" s="188">
        <v>57</v>
      </c>
      <c r="R52" s="188">
        <v>114</v>
      </c>
      <c r="S52" s="188">
        <v>61</v>
      </c>
      <c r="T52" s="188">
        <v>0</v>
      </c>
      <c r="U52" s="188">
        <v>13</v>
      </c>
      <c r="V52" s="188">
        <v>13</v>
      </c>
      <c r="W52" s="189" t="s">
        <v>125</v>
      </c>
      <c r="X52" s="189" t="s">
        <v>125</v>
      </c>
      <c r="Y52" s="189" t="s">
        <v>125</v>
      </c>
      <c r="Z52" s="188">
        <v>16523</v>
      </c>
      <c r="AA52" s="188">
        <v>16523</v>
      </c>
      <c r="AB52" s="188">
        <v>0</v>
      </c>
      <c r="AC52" s="188">
        <v>3519539</v>
      </c>
      <c r="AD52" s="188">
        <v>7113</v>
      </c>
      <c r="AE52" s="190">
        <v>3526652</v>
      </c>
      <c r="AY52" s="192"/>
      <c r="AZ52" s="192"/>
    </row>
    <row r="53" spans="1:52" s="191" customFormat="1" ht="15" customHeight="1">
      <c r="A53" s="187" t="s">
        <v>169</v>
      </c>
      <c r="B53" s="188">
        <v>1282</v>
      </c>
      <c r="C53" s="188">
        <v>2</v>
      </c>
      <c r="D53" s="188">
        <v>0</v>
      </c>
      <c r="E53" s="188">
        <v>11631</v>
      </c>
      <c r="F53" s="188">
        <v>29</v>
      </c>
      <c r="G53" s="188">
        <v>16</v>
      </c>
      <c r="H53" s="188">
        <v>12913</v>
      </c>
      <c r="I53" s="188">
        <v>31</v>
      </c>
      <c r="J53" s="188">
        <v>16</v>
      </c>
      <c r="K53" s="188">
        <v>3087</v>
      </c>
      <c r="L53" s="188">
        <v>21007</v>
      </c>
      <c r="M53" s="188">
        <v>24094</v>
      </c>
      <c r="N53" s="188">
        <v>2</v>
      </c>
      <c r="O53" s="188">
        <v>2</v>
      </c>
      <c r="P53" s="188">
        <v>73</v>
      </c>
      <c r="Q53" s="188">
        <v>34</v>
      </c>
      <c r="R53" s="188">
        <v>75</v>
      </c>
      <c r="S53" s="188">
        <v>36</v>
      </c>
      <c r="T53" s="188">
        <v>0</v>
      </c>
      <c r="U53" s="188">
        <v>17</v>
      </c>
      <c r="V53" s="188">
        <v>17</v>
      </c>
      <c r="W53" s="189" t="s">
        <v>125</v>
      </c>
      <c r="X53" s="189" t="s">
        <v>125</v>
      </c>
      <c r="Y53" s="189" t="s">
        <v>125</v>
      </c>
      <c r="Z53" s="188">
        <v>13709</v>
      </c>
      <c r="AA53" s="188">
        <v>13709</v>
      </c>
      <c r="AB53" s="188">
        <v>0</v>
      </c>
      <c r="AC53" s="188">
        <v>3201061</v>
      </c>
      <c r="AD53" s="188">
        <v>5959</v>
      </c>
      <c r="AE53" s="190">
        <v>3207020</v>
      </c>
      <c r="AY53" s="192"/>
      <c r="AZ53" s="192"/>
    </row>
    <row r="54" spans="1:52" s="191" customFormat="1" ht="15" customHeight="1">
      <c r="A54" s="187" t="s">
        <v>170</v>
      </c>
      <c r="B54" s="188">
        <v>8</v>
      </c>
      <c r="C54" s="188">
        <v>1</v>
      </c>
      <c r="D54" s="188">
        <v>0</v>
      </c>
      <c r="E54" s="188">
        <v>148</v>
      </c>
      <c r="F54" s="188">
        <v>0</v>
      </c>
      <c r="G54" s="188">
        <v>0</v>
      </c>
      <c r="H54" s="188">
        <v>156</v>
      </c>
      <c r="I54" s="188">
        <v>1</v>
      </c>
      <c r="J54" s="188">
        <v>0</v>
      </c>
      <c r="K54" s="188">
        <v>21</v>
      </c>
      <c r="L54" s="188">
        <v>242</v>
      </c>
      <c r="M54" s="188">
        <v>263</v>
      </c>
      <c r="N54" s="188">
        <v>1</v>
      </c>
      <c r="O54" s="188">
        <v>1</v>
      </c>
      <c r="P54" s="188">
        <v>0</v>
      </c>
      <c r="Q54" s="188">
        <v>0</v>
      </c>
      <c r="R54" s="188">
        <v>1</v>
      </c>
      <c r="S54" s="188">
        <v>1</v>
      </c>
      <c r="T54" s="188">
        <v>0</v>
      </c>
      <c r="U54" s="188">
        <v>0</v>
      </c>
      <c r="V54" s="188">
        <v>0</v>
      </c>
      <c r="W54" s="189" t="s">
        <v>125</v>
      </c>
      <c r="X54" s="189" t="s">
        <v>125</v>
      </c>
      <c r="Y54" s="189" t="s">
        <v>125</v>
      </c>
      <c r="Z54" s="188">
        <v>159</v>
      </c>
      <c r="AA54" s="188">
        <v>159</v>
      </c>
      <c r="AB54" s="188">
        <v>0</v>
      </c>
      <c r="AC54" s="188">
        <v>34828</v>
      </c>
      <c r="AD54" s="188">
        <v>53</v>
      </c>
      <c r="AE54" s="190">
        <v>34881</v>
      </c>
      <c r="AY54" s="192"/>
      <c r="AZ54" s="192"/>
    </row>
    <row r="55" spans="1:52" s="191" customFormat="1" ht="15" customHeight="1">
      <c r="A55" s="187" t="s">
        <v>171</v>
      </c>
      <c r="B55" s="188">
        <v>372</v>
      </c>
      <c r="C55" s="188">
        <v>2</v>
      </c>
      <c r="D55" s="188">
        <v>0</v>
      </c>
      <c r="E55" s="188">
        <v>2791</v>
      </c>
      <c r="F55" s="188">
        <v>6</v>
      </c>
      <c r="G55" s="188">
        <v>1</v>
      </c>
      <c r="H55" s="188">
        <v>3163</v>
      </c>
      <c r="I55" s="188">
        <v>8</v>
      </c>
      <c r="J55" s="188">
        <v>1</v>
      </c>
      <c r="K55" s="188">
        <v>1024</v>
      </c>
      <c r="L55" s="188">
        <v>5644</v>
      </c>
      <c r="M55" s="188">
        <v>6668</v>
      </c>
      <c r="N55" s="188">
        <v>4</v>
      </c>
      <c r="O55" s="188">
        <v>2</v>
      </c>
      <c r="P55" s="188">
        <v>18</v>
      </c>
      <c r="Q55" s="188">
        <v>8</v>
      </c>
      <c r="R55" s="188">
        <v>22</v>
      </c>
      <c r="S55" s="188">
        <v>10</v>
      </c>
      <c r="T55" s="188">
        <v>0</v>
      </c>
      <c r="U55" s="188">
        <v>2</v>
      </c>
      <c r="V55" s="188">
        <v>2</v>
      </c>
      <c r="W55" s="189" t="s">
        <v>125</v>
      </c>
      <c r="X55" s="189" t="s">
        <v>125</v>
      </c>
      <c r="Y55" s="189" t="s">
        <v>125</v>
      </c>
      <c r="Z55" s="188">
        <v>3388</v>
      </c>
      <c r="AA55" s="188">
        <v>3388</v>
      </c>
      <c r="AB55" s="188">
        <v>0</v>
      </c>
      <c r="AC55" s="188">
        <v>892245</v>
      </c>
      <c r="AD55" s="188">
        <v>1141</v>
      </c>
      <c r="AE55" s="190">
        <v>893386</v>
      </c>
      <c r="AY55" s="192"/>
      <c r="AZ55" s="192"/>
    </row>
    <row r="56" spans="1:52" s="191" customFormat="1" ht="15" customHeight="1">
      <c r="A56" s="187" t="s">
        <v>172</v>
      </c>
      <c r="B56" s="188">
        <v>2540</v>
      </c>
      <c r="C56" s="188">
        <v>22</v>
      </c>
      <c r="D56" s="188">
        <v>0</v>
      </c>
      <c r="E56" s="188">
        <v>19625</v>
      </c>
      <c r="F56" s="188">
        <v>169</v>
      </c>
      <c r="G56" s="188">
        <v>59</v>
      </c>
      <c r="H56" s="188">
        <v>22165</v>
      </c>
      <c r="I56" s="188">
        <v>191</v>
      </c>
      <c r="J56" s="188">
        <v>59</v>
      </c>
      <c r="K56" s="188">
        <v>5986</v>
      </c>
      <c r="L56" s="188">
        <v>35569</v>
      </c>
      <c r="M56" s="188">
        <v>41555</v>
      </c>
      <c r="N56" s="188">
        <v>52</v>
      </c>
      <c r="O56" s="188">
        <v>26</v>
      </c>
      <c r="P56" s="188">
        <v>389</v>
      </c>
      <c r="Q56" s="188">
        <v>197</v>
      </c>
      <c r="R56" s="188">
        <v>441</v>
      </c>
      <c r="S56" s="188">
        <v>223</v>
      </c>
      <c r="T56" s="188">
        <v>0</v>
      </c>
      <c r="U56" s="188">
        <v>84</v>
      </c>
      <c r="V56" s="188">
        <v>84</v>
      </c>
      <c r="W56" s="189" t="s">
        <v>125</v>
      </c>
      <c r="X56" s="189" t="s">
        <v>125</v>
      </c>
      <c r="Y56" s="189" t="s">
        <v>125</v>
      </c>
      <c r="Z56" s="188">
        <v>23537</v>
      </c>
      <c r="AA56" s="188">
        <v>23537</v>
      </c>
      <c r="AB56" s="188">
        <v>0</v>
      </c>
      <c r="AC56" s="188">
        <v>5961712</v>
      </c>
      <c r="AD56" s="188">
        <v>37648</v>
      </c>
      <c r="AE56" s="190">
        <v>5999360</v>
      </c>
      <c r="AY56" s="192"/>
      <c r="AZ56" s="192"/>
    </row>
    <row r="57" spans="1:52" s="191" customFormat="1" ht="15" customHeight="1">
      <c r="A57" s="187" t="s">
        <v>173</v>
      </c>
      <c r="B57" s="188">
        <v>1457</v>
      </c>
      <c r="C57" s="188">
        <v>36</v>
      </c>
      <c r="D57" s="188">
        <v>3</v>
      </c>
      <c r="E57" s="188">
        <v>17307</v>
      </c>
      <c r="F57" s="188">
        <v>229</v>
      </c>
      <c r="G57" s="188">
        <v>56</v>
      </c>
      <c r="H57" s="188">
        <v>18764</v>
      </c>
      <c r="I57" s="188">
        <v>265</v>
      </c>
      <c r="J57" s="188">
        <v>59</v>
      </c>
      <c r="K57" s="188">
        <v>3440</v>
      </c>
      <c r="L57" s="188">
        <v>29376</v>
      </c>
      <c r="M57" s="188">
        <v>32816</v>
      </c>
      <c r="N57" s="188">
        <v>91</v>
      </c>
      <c r="O57" s="188">
        <v>42</v>
      </c>
      <c r="P57" s="188">
        <v>536</v>
      </c>
      <c r="Q57" s="188">
        <v>244</v>
      </c>
      <c r="R57" s="188">
        <v>627</v>
      </c>
      <c r="S57" s="188">
        <v>286</v>
      </c>
      <c r="T57" s="188">
        <v>4</v>
      </c>
      <c r="U57" s="188">
        <v>71</v>
      </c>
      <c r="V57" s="188">
        <v>75</v>
      </c>
      <c r="W57" s="189" t="s">
        <v>125</v>
      </c>
      <c r="X57" s="189" t="s">
        <v>125</v>
      </c>
      <c r="Y57" s="189" t="s">
        <v>125</v>
      </c>
      <c r="Z57" s="188">
        <v>21514</v>
      </c>
      <c r="AA57" s="188">
        <v>21514</v>
      </c>
      <c r="AB57" s="188">
        <v>0</v>
      </c>
      <c r="AC57" s="188">
        <v>4484114</v>
      </c>
      <c r="AD57" s="188">
        <v>33616</v>
      </c>
      <c r="AE57" s="190">
        <v>4517730</v>
      </c>
      <c r="AY57" s="192"/>
      <c r="AZ57" s="192"/>
    </row>
    <row r="58" spans="1:52" s="191" customFormat="1" ht="15" customHeight="1">
      <c r="A58" s="187" t="s">
        <v>174</v>
      </c>
      <c r="B58" s="188">
        <v>5585</v>
      </c>
      <c r="C58" s="188">
        <v>30</v>
      </c>
      <c r="D58" s="188">
        <v>0</v>
      </c>
      <c r="E58" s="188">
        <v>36083</v>
      </c>
      <c r="F58" s="188">
        <v>166</v>
      </c>
      <c r="G58" s="188">
        <v>33</v>
      </c>
      <c r="H58" s="188">
        <v>41668</v>
      </c>
      <c r="I58" s="188">
        <v>196</v>
      </c>
      <c r="J58" s="188">
        <v>33</v>
      </c>
      <c r="K58" s="188">
        <v>14419</v>
      </c>
      <c r="L58" s="188">
        <v>72450</v>
      </c>
      <c r="M58" s="188">
        <v>86869</v>
      </c>
      <c r="N58" s="188">
        <v>83</v>
      </c>
      <c r="O58" s="188">
        <v>35</v>
      </c>
      <c r="P58" s="188">
        <v>464</v>
      </c>
      <c r="Q58" s="188">
        <v>192</v>
      </c>
      <c r="R58" s="188">
        <v>547</v>
      </c>
      <c r="S58" s="188">
        <v>227</v>
      </c>
      <c r="T58" s="188">
        <v>0</v>
      </c>
      <c r="U58" s="188">
        <v>43</v>
      </c>
      <c r="V58" s="188">
        <v>43</v>
      </c>
      <c r="W58" s="189" t="s">
        <v>125</v>
      </c>
      <c r="X58" s="189" t="s">
        <v>125</v>
      </c>
      <c r="Y58" s="189" t="s">
        <v>125</v>
      </c>
      <c r="Z58" s="188">
        <v>43530</v>
      </c>
      <c r="AA58" s="188">
        <v>43530</v>
      </c>
      <c r="AB58" s="188">
        <v>0</v>
      </c>
      <c r="AC58" s="188">
        <v>11826949</v>
      </c>
      <c r="AD58" s="188">
        <v>25893</v>
      </c>
      <c r="AE58" s="190">
        <v>11852842</v>
      </c>
      <c r="AY58" s="192"/>
      <c r="AZ58" s="192"/>
    </row>
    <row r="59" spans="1:52" s="191" customFormat="1" ht="15" customHeight="1">
      <c r="A59" s="187" t="s">
        <v>175</v>
      </c>
      <c r="B59" s="188">
        <v>683</v>
      </c>
      <c r="C59" s="188">
        <v>16</v>
      </c>
      <c r="D59" s="188">
        <v>0</v>
      </c>
      <c r="E59" s="188">
        <v>4961</v>
      </c>
      <c r="F59" s="188">
        <v>54</v>
      </c>
      <c r="G59" s="188">
        <v>11</v>
      </c>
      <c r="H59" s="188">
        <v>5644</v>
      </c>
      <c r="I59" s="188">
        <v>70</v>
      </c>
      <c r="J59" s="188">
        <v>11</v>
      </c>
      <c r="K59" s="188">
        <v>1906</v>
      </c>
      <c r="L59" s="188">
        <v>10938</v>
      </c>
      <c r="M59" s="188">
        <v>12844</v>
      </c>
      <c r="N59" s="188">
        <v>40</v>
      </c>
      <c r="O59" s="188">
        <v>18</v>
      </c>
      <c r="P59" s="188">
        <v>146</v>
      </c>
      <c r="Q59" s="188">
        <v>66</v>
      </c>
      <c r="R59" s="188">
        <v>186</v>
      </c>
      <c r="S59" s="188">
        <v>84</v>
      </c>
      <c r="T59" s="188">
        <v>0</v>
      </c>
      <c r="U59" s="188">
        <v>13</v>
      </c>
      <c r="V59" s="188">
        <v>13</v>
      </c>
      <c r="W59" s="189" t="s">
        <v>125</v>
      </c>
      <c r="X59" s="189" t="s">
        <v>125</v>
      </c>
      <c r="Y59" s="189" t="s">
        <v>125</v>
      </c>
      <c r="Z59" s="188">
        <v>5967</v>
      </c>
      <c r="AA59" s="188">
        <v>5967</v>
      </c>
      <c r="AB59" s="188">
        <v>0</v>
      </c>
      <c r="AC59" s="188">
        <v>1726612</v>
      </c>
      <c r="AD59" s="188">
        <v>9448</v>
      </c>
      <c r="AE59" s="190">
        <v>1736060</v>
      </c>
      <c r="AY59" s="192"/>
      <c r="AZ59" s="192"/>
    </row>
    <row r="60" spans="1:52" s="191" customFormat="1" ht="15" customHeight="1">
      <c r="A60" s="187" t="s">
        <v>176</v>
      </c>
      <c r="B60" s="188">
        <v>530</v>
      </c>
      <c r="C60" s="188">
        <v>0</v>
      </c>
      <c r="D60" s="188">
        <v>0</v>
      </c>
      <c r="E60" s="188">
        <v>4007</v>
      </c>
      <c r="F60" s="188">
        <v>32</v>
      </c>
      <c r="G60" s="188">
        <v>3</v>
      </c>
      <c r="H60" s="188">
        <v>4537</v>
      </c>
      <c r="I60" s="188">
        <v>32</v>
      </c>
      <c r="J60" s="188">
        <v>3</v>
      </c>
      <c r="K60" s="188">
        <v>1387</v>
      </c>
      <c r="L60" s="188">
        <v>8446</v>
      </c>
      <c r="M60" s="188">
        <v>9833</v>
      </c>
      <c r="N60" s="188">
        <v>0</v>
      </c>
      <c r="O60" s="188">
        <v>0</v>
      </c>
      <c r="P60" s="188">
        <v>100</v>
      </c>
      <c r="Q60" s="188">
        <v>45</v>
      </c>
      <c r="R60" s="188">
        <v>100</v>
      </c>
      <c r="S60" s="188">
        <v>45</v>
      </c>
      <c r="T60" s="188">
        <v>0</v>
      </c>
      <c r="U60" s="188">
        <v>3</v>
      </c>
      <c r="V60" s="188">
        <v>3</v>
      </c>
      <c r="W60" s="189" t="s">
        <v>125</v>
      </c>
      <c r="X60" s="189" t="s">
        <v>125</v>
      </c>
      <c r="Y60" s="189" t="s">
        <v>125</v>
      </c>
      <c r="Z60" s="188">
        <v>4829</v>
      </c>
      <c r="AA60" s="188">
        <v>4829</v>
      </c>
      <c r="AB60" s="188">
        <v>0</v>
      </c>
      <c r="AC60" s="188">
        <v>1274810</v>
      </c>
      <c r="AD60" s="188">
        <v>6246</v>
      </c>
      <c r="AE60" s="190">
        <v>1281056</v>
      </c>
      <c r="AY60" s="192"/>
      <c r="AZ60" s="192"/>
    </row>
    <row r="61" spans="1:52" s="191" customFormat="1" ht="15" customHeight="1">
      <c r="A61" s="187" t="s">
        <v>177</v>
      </c>
      <c r="B61" s="188">
        <v>62</v>
      </c>
      <c r="C61" s="188">
        <v>0</v>
      </c>
      <c r="D61" s="188">
        <v>0</v>
      </c>
      <c r="E61" s="188">
        <v>912</v>
      </c>
      <c r="F61" s="188">
        <v>0</v>
      </c>
      <c r="G61" s="188">
        <v>0</v>
      </c>
      <c r="H61" s="188">
        <v>974</v>
      </c>
      <c r="I61" s="188">
        <v>0</v>
      </c>
      <c r="J61" s="188">
        <v>0</v>
      </c>
      <c r="K61" s="188">
        <v>156</v>
      </c>
      <c r="L61" s="188">
        <v>1552</v>
      </c>
      <c r="M61" s="188">
        <v>1708</v>
      </c>
      <c r="N61" s="188">
        <v>0</v>
      </c>
      <c r="O61" s="188">
        <v>0</v>
      </c>
      <c r="P61" s="188">
        <v>0</v>
      </c>
      <c r="Q61" s="188">
        <v>0</v>
      </c>
      <c r="R61" s="188">
        <v>0</v>
      </c>
      <c r="S61" s="188">
        <v>0</v>
      </c>
      <c r="T61" s="188">
        <v>0</v>
      </c>
      <c r="U61" s="188">
        <v>0</v>
      </c>
      <c r="V61" s="188">
        <v>0</v>
      </c>
      <c r="W61" s="189" t="s">
        <v>125</v>
      </c>
      <c r="X61" s="189" t="s">
        <v>125</v>
      </c>
      <c r="Y61" s="189" t="s">
        <v>125</v>
      </c>
      <c r="Z61" s="188">
        <v>1023</v>
      </c>
      <c r="AA61" s="188">
        <v>1023</v>
      </c>
      <c r="AB61" s="188">
        <v>0</v>
      </c>
      <c r="AC61" s="188">
        <v>240491</v>
      </c>
      <c r="AD61" s="188">
        <v>0</v>
      </c>
      <c r="AE61" s="190">
        <v>240491</v>
      </c>
      <c r="AY61" s="192"/>
      <c r="AZ61" s="192"/>
    </row>
    <row r="62" spans="1:52" s="191" customFormat="1" ht="15" customHeight="1">
      <c r="A62" s="187" t="s">
        <v>178</v>
      </c>
      <c r="B62" s="188">
        <v>7488</v>
      </c>
      <c r="C62" s="188">
        <v>50</v>
      </c>
      <c r="D62" s="188">
        <v>2</v>
      </c>
      <c r="E62" s="188">
        <v>43324</v>
      </c>
      <c r="F62" s="188">
        <v>803</v>
      </c>
      <c r="G62" s="188">
        <v>213</v>
      </c>
      <c r="H62" s="188">
        <v>50812</v>
      </c>
      <c r="I62" s="188">
        <v>853</v>
      </c>
      <c r="J62" s="188">
        <v>215</v>
      </c>
      <c r="K62" s="188">
        <v>20380</v>
      </c>
      <c r="L62" s="188">
        <v>97058</v>
      </c>
      <c r="M62" s="188">
        <v>117438</v>
      </c>
      <c r="N62" s="188">
        <v>115</v>
      </c>
      <c r="O62" s="188">
        <v>52</v>
      </c>
      <c r="P62" s="188">
        <v>2200</v>
      </c>
      <c r="Q62" s="188">
        <v>884</v>
      </c>
      <c r="R62" s="188">
        <v>2315</v>
      </c>
      <c r="S62" s="188">
        <v>936</v>
      </c>
      <c r="T62" s="188">
        <v>2</v>
      </c>
      <c r="U62" s="188">
        <v>268</v>
      </c>
      <c r="V62" s="188">
        <v>270</v>
      </c>
      <c r="W62" s="189" t="s">
        <v>125</v>
      </c>
      <c r="X62" s="189" t="s">
        <v>125</v>
      </c>
      <c r="Y62" s="189" t="s">
        <v>125</v>
      </c>
      <c r="Z62" s="188">
        <v>60472</v>
      </c>
      <c r="AA62" s="188">
        <v>60472</v>
      </c>
      <c r="AB62" s="188">
        <v>0</v>
      </c>
      <c r="AC62" s="188">
        <v>16117457</v>
      </c>
      <c r="AD62" s="188">
        <v>132483</v>
      </c>
      <c r="AE62" s="190">
        <v>16249940</v>
      </c>
      <c r="AY62" s="192"/>
      <c r="AZ62" s="192"/>
    </row>
    <row r="63" spans="1:52" s="191" customFormat="1" ht="15" customHeight="1">
      <c r="A63" s="187" t="s">
        <v>179</v>
      </c>
      <c r="B63" s="188">
        <v>282</v>
      </c>
      <c r="C63" s="188">
        <v>1</v>
      </c>
      <c r="D63" s="188">
        <v>0</v>
      </c>
      <c r="E63" s="188">
        <v>2838</v>
      </c>
      <c r="F63" s="188">
        <v>4</v>
      </c>
      <c r="G63" s="188">
        <v>3</v>
      </c>
      <c r="H63" s="188">
        <v>3120</v>
      </c>
      <c r="I63" s="188">
        <v>5</v>
      </c>
      <c r="J63" s="188">
        <v>3</v>
      </c>
      <c r="K63" s="188">
        <v>715</v>
      </c>
      <c r="L63" s="188">
        <v>4676</v>
      </c>
      <c r="M63" s="188">
        <v>5391</v>
      </c>
      <c r="N63" s="188">
        <v>5</v>
      </c>
      <c r="O63" s="188">
        <v>1</v>
      </c>
      <c r="P63" s="188">
        <v>7</v>
      </c>
      <c r="Q63" s="188">
        <v>5</v>
      </c>
      <c r="R63" s="188">
        <v>12</v>
      </c>
      <c r="S63" s="188">
        <v>6</v>
      </c>
      <c r="T63" s="188">
        <v>0</v>
      </c>
      <c r="U63" s="188">
        <v>5</v>
      </c>
      <c r="V63" s="188">
        <v>5</v>
      </c>
      <c r="W63" s="189" t="s">
        <v>125</v>
      </c>
      <c r="X63" s="189" t="s">
        <v>125</v>
      </c>
      <c r="Y63" s="189" t="s">
        <v>125</v>
      </c>
      <c r="Z63" s="188">
        <v>3316</v>
      </c>
      <c r="AA63" s="188">
        <v>3316</v>
      </c>
      <c r="AB63" s="188">
        <v>0</v>
      </c>
      <c r="AC63" s="188">
        <v>725943</v>
      </c>
      <c r="AD63" s="188">
        <v>1385</v>
      </c>
      <c r="AE63" s="190">
        <v>727328</v>
      </c>
      <c r="AY63" s="192"/>
      <c r="AZ63" s="192"/>
    </row>
    <row r="64" spans="1:52" s="191" customFormat="1" ht="15" customHeight="1">
      <c r="A64" s="187" t="s">
        <v>180</v>
      </c>
      <c r="B64" s="188">
        <v>2794</v>
      </c>
      <c r="C64" s="188">
        <v>18</v>
      </c>
      <c r="D64" s="188">
        <v>0</v>
      </c>
      <c r="E64" s="188">
        <v>33734</v>
      </c>
      <c r="F64" s="188">
        <v>356</v>
      </c>
      <c r="G64" s="188">
        <v>188</v>
      </c>
      <c r="H64" s="188">
        <v>36528</v>
      </c>
      <c r="I64" s="188">
        <v>374</v>
      </c>
      <c r="J64" s="188">
        <v>188</v>
      </c>
      <c r="K64" s="188">
        <v>7253</v>
      </c>
      <c r="L64" s="188">
        <v>65480</v>
      </c>
      <c r="M64" s="188">
        <v>72733</v>
      </c>
      <c r="N64" s="188">
        <v>37</v>
      </c>
      <c r="O64" s="188">
        <v>23</v>
      </c>
      <c r="P64" s="188">
        <v>879</v>
      </c>
      <c r="Q64" s="188">
        <v>382</v>
      </c>
      <c r="R64" s="188">
        <v>916</v>
      </c>
      <c r="S64" s="188">
        <v>405</v>
      </c>
      <c r="T64" s="188">
        <v>0</v>
      </c>
      <c r="U64" s="188">
        <v>243</v>
      </c>
      <c r="V64" s="188">
        <v>243</v>
      </c>
      <c r="W64" s="189" t="s">
        <v>125</v>
      </c>
      <c r="X64" s="189" t="s">
        <v>125</v>
      </c>
      <c r="Y64" s="189" t="s">
        <v>125</v>
      </c>
      <c r="Z64" s="188">
        <v>42716</v>
      </c>
      <c r="AA64" s="188">
        <v>42716</v>
      </c>
      <c r="AB64" s="188">
        <v>0</v>
      </c>
      <c r="AC64" s="188">
        <v>10016577</v>
      </c>
      <c r="AD64" s="188">
        <v>121136</v>
      </c>
      <c r="AE64" s="190">
        <v>10137713</v>
      </c>
      <c r="AY64" s="192"/>
      <c r="AZ64" s="192"/>
    </row>
    <row r="65" spans="1:52" s="191" customFormat="1" ht="15" customHeight="1">
      <c r="A65" s="187" t="s">
        <v>181</v>
      </c>
      <c r="B65" s="188">
        <v>908</v>
      </c>
      <c r="C65" s="188">
        <v>45</v>
      </c>
      <c r="D65" s="188">
        <v>1</v>
      </c>
      <c r="E65" s="188">
        <v>9485</v>
      </c>
      <c r="F65" s="188">
        <v>163</v>
      </c>
      <c r="G65" s="188">
        <v>60</v>
      </c>
      <c r="H65" s="188">
        <v>10393</v>
      </c>
      <c r="I65" s="188">
        <v>208</v>
      </c>
      <c r="J65" s="188">
        <v>61</v>
      </c>
      <c r="K65" s="188">
        <v>2332</v>
      </c>
      <c r="L65" s="188">
        <v>17565</v>
      </c>
      <c r="M65" s="188">
        <v>19897</v>
      </c>
      <c r="N65" s="188">
        <v>118</v>
      </c>
      <c r="O65" s="188">
        <v>71</v>
      </c>
      <c r="P65" s="188">
        <v>424</v>
      </c>
      <c r="Q65" s="188">
        <v>225</v>
      </c>
      <c r="R65" s="188">
        <v>542</v>
      </c>
      <c r="S65" s="188">
        <v>296</v>
      </c>
      <c r="T65" s="188">
        <v>1</v>
      </c>
      <c r="U65" s="188">
        <v>84</v>
      </c>
      <c r="V65" s="188">
        <v>85</v>
      </c>
      <c r="W65" s="189" t="s">
        <v>125</v>
      </c>
      <c r="X65" s="189" t="s">
        <v>125</v>
      </c>
      <c r="Y65" s="189" t="s">
        <v>125</v>
      </c>
      <c r="Z65" s="188">
        <v>12337</v>
      </c>
      <c r="AA65" s="188">
        <v>12337</v>
      </c>
      <c r="AB65" s="188">
        <v>0</v>
      </c>
      <c r="AC65" s="188">
        <v>2764735</v>
      </c>
      <c r="AD65" s="188">
        <v>43542</v>
      </c>
      <c r="AE65" s="190">
        <v>2808277</v>
      </c>
      <c r="AY65" s="192"/>
      <c r="AZ65" s="192"/>
    </row>
    <row r="66" spans="1:52" s="191" customFormat="1" ht="15" customHeight="1" thickBot="1">
      <c r="A66" s="193" t="s">
        <v>182</v>
      </c>
      <c r="B66" s="194">
        <v>771</v>
      </c>
      <c r="C66" s="194">
        <v>5</v>
      </c>
      <c r="D66" s="194">
        <v>0</v>
      </c>
      <c r="E66" s="194">
        <v>5332</v>
      </c>
      <c r="F66" s="194">
        <v>28</v>
      </c>
      <c r="G66" s="194">
        <v>5</v>
      </c>
      <c r="H66" s="194">
        <v>6103</v>
      </c>
      <c r="I66" s="194">
        <v>33</v>
      </c>
      <c r="J66" s="194">
        <v>5</v>
      </c>
      <c r="K66" s="194">
        <v>2076</v>
      </c>
      <c r="L66" s="194">
        <v>11025</v>
      </c>
      <c r="M66" s="194">
        <v>13101</v>
      </c>
      <c r="N66" s="194">
        <v>10</v>
      </c>
      <c r="O66" s="194">
        <v>6</v>
      </c>
      <c r="P66" s="194">
        <v>89</v>
      </c>
      <c r="Q66" s="194">
        <v>41</v>
      </c>
      <c r="R66" s="194">
        <v>99</v>
      </c>
      <c r="S66" s="194">
        <v>47</v>
      </c>
      <c r="T66" s="194">
        <v>0</v>
      </c>
      <c r="U66" s="194">
        <v>5</v>
      </c>
      <c r="V66" s="194">
        <v>5</v>
      </c>
      <c r="W66" s="195" t="s">
        <v>125</v>
      </c>
      <c r="X66" s="195" t="s">
        <v>125</v>
      </c>
      <c r="Y66" s="195" t="s">
        <v>125</v>
      </c>
      <c r="Z66" s="194">
        <v>6413</v>
      </c>
      <c r="AA66" s="194">
        <v>6413</v>
      </c>
      <c r="AB66" s="194">
        <v>0</v>
      </c>
      <c r="AC66" s="194">
        <v>1782557</v>
      </c>
      <c r="AD66" s="194">
        <v>4494</v>
      </c>
      <c r="AE66" s="196">
        <v>1787051</v>
      </c>
      <c r="AG66" s="197" t="s">
        <v>63</v>
      </c>
      <c r="AY66" s="192"/>
      <c r="AZ66" s="192"/>
    </row>
    <row r="67" spans="1:52" s="191" customFormat="1" ht="15.75" customHeight="1" thickTop="1">
      <c r="A67" s="198" t="s">
        <v>183</v>
      </c>
      <c r="B67" s="199">
        <v>256433</v>
      </c>
      <c r="C67" s="199">
        <v>5005</v>
      </c>
      <c r="D67" s="199">
        <v>151</v>
      </c>
      <c r="E67" s="199">
        <v>1788315</v>
      </c>
      <c r="F67" s="199">
        <v>20987</v>
      </c>
      <c r="G67" s="199">
        <v>11192</v>
      </c>
      <c r="H67" s="199">
        <v>2044748</v>
      </c>
      <c r="I67" s="199">
        <v>25992</v>
      </c>
      <c r="J67" s="199">
        <v>11343</v>
      </c>
      <c r="K67" s="199">
        <v>654012</v>
      </c>
      <c r="L67" s="199">
        <v>3542034</v>
      </c>
      <c r="M67" s="199">
        <v>4196046</v>
      </c>
      <c r="N67" s="199">
        <v>11084</v>
      </c>
      <c r="O67" s="199">
        <v>6736</v>
      </c>
      <c r="P67" s="199">
        <v>50298</v>
      </c>
      <c r="Q67" s="199">
        <v>25656</v>
      </c>
      <c r="R67" s="199">
        <v>61382</v>
      </c>
      <c r="S67" s="199">
        <v>32392</v>
      </c>
      <c r="T67" s="199">
        <v>248</v>
      </c>
      <c r="U67" s="199">
        <v>14371</v>
      </c>
      <c r="V67" s="199">
        <v>14619</v>
      </c>
      <c r="W67" s="200"/>
      <c r="X67" s="200"/>
      <c r="Y67" s="200"/>
      <c r="Z67" s="199">
        <v>2274847</v>
      </c>
      <c r="AA67" s="199">
        <v>2274847</v>
      </c>
      <c r="AB67" s="199">
        <v>0</v>
      </c>
      <c r="AC67" s="199">
        <v>593619123</v>
      </c>
      <c r="AD67" s="199">
        <v>5739306</v>
      </c>
      <c r="AE67" s="199">
        <v>599358429</v>
      </c>
      <c r="AG67" s="201">
        <v>1216039596</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9"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185</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256196</v>
      </c>
      <c r="F12" s="54">
        <v>2</v>
      </c>
      <c r="G12" s="55">
        <v>4885</v>
      </c>
      <c r="H12" s="54">
        <v>3</v>
      </c>
      <c r="I12" s="55">
        <v>129</v>
      </c>
      <c r="J12" s="54">
        <v>4</v>
      </c>
      <c r="K12" s="55">
        <v>1795627</v>
      </c>
      <c r="L12" s="54">
        <v>5</v>
      </c>
      <c r="M12" s="55">
        <v>20989</v>
      </c>
      <c r="N12" s="54">
        <v>6</v>
      </c>
      <c r="O12" s="55">
        <v>11182</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654149</v>
      </c>
      <c r="F14" s="68"/>
      <c r="G14" s="69"/>
      <c r="H14" s="68"/>
      <c r="I14" s="69"/>
      <c r="J14" s="66"/>
      <c r="K14" s="67">
        <v>3552675</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10602</v>
      </c>
      <c r="F16" s="68"/>
      <c r="G16" s="69"/>
      <c r="H16" s="66"/>
      <c r="I16" s="67">
        <v>6566</v>
      </c>
      <c r="J16" s="66"/>
      <c r="K16" s="67">
        <v>50072</v>
      </c>
      <c r="L16" s="68"/>
      <c r="M16" s="69"/>
      <c r="N16" s="66"/>
      <c r="O16" s="67">
        <v>25567</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210</v>
      </c>
      <c r="J18" s="68"/>
      <c r="K18" s="69"/>
      <c r="L18" s="68"/>
      <c r="M18" s="69"/>
      <c r="N18" s="66"/>
      <c r="O18" s="67">
        <v>14345</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2051823</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25874</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11311</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4206824</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60674</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32133</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14555</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2264985</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2264985</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596286691</v>
      </c>
    </row>
    <row r="37" spans="1:26" ht="17.25" customHeight="1">
      <c r="A37" s="97" t="s">
        <v>59</v>
      </c>
      <c r="B37" s="98" t="s">
        <v>60</v>
      </c>
      <c r="C37" s="98"/>
      <c r="D37" s="99"/>
      <c r="E37" s="98"/>
      <c r="F37" s="98"/>
      <c r="G37" s="98"/>
      <c r="H37" s="98"/>
      <c r="I37" s="98"/>
      <c r="J37" s="103"/>
      <c r="K37" s="103"/>
      <c r="L37" s="103"/>
      <c r="M37" s="103"/>
      <c r="N37" s="124">
        <v>29</v>
      </c>
      <c r="O37" s="125">
        <v>5647677</v>
      </c>
    </row>
    <row r="38" spans="1:26" ht="17.25" customHeight="1">
      <c r="A38" s="97" t="s">
        <v>61</v>
      </c>
      <c r="B38" s="98" t="s">
        <v>62</v>
      </c>
      <c r="C38" s="98"/>
      <c r="D38" s="99"/>
      <c r="E38" s="98"/>
      <c r="F38" s="98"/>
      <c r="G38" s="98"/>
      <c r="H38" s="98"/>
      <c r="I38" s="98"/>
      <c r="J38" s="103"/>
      <c r="K38" s="103"/>
      <c r="L38" s="103"/>
      <c r="M38" s="103"/>
      <c r="N38" s="126">
        <v>30</v>
      </c>
      <c r="O38" s="127">
        <v>601934368</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209</v>
      </c>
      <c r="B41" s="221"/>
      <c r="C41" s="221"/>
      <c r="D41" s="221"/>
      <c r="E41" s="221"/>
      <c r="F41" s="221"/>
      <c r="G41" s="221"/>
      <c r="H41" s="221"/>
      <c r="I41" s="221"/>
      <c r="J41" s="221"/>
      <c r="K41" s="221"/>
      <c r="L41" s="221"/>
      <c r="M41" s="221"/>
      <c r="N41" s="221"/>
      <c r="O41" s="222"/>
      <c r="Q41" s="27"/>
    </row>
    <row r="42" spans="1:26">
      <c r="L42" s="133" t="s">
        <v>63</v>
      </c>
      <c r="M42" s="134"/>
      <c r="N42" s="135"/>
      <c r="O42" s="136">
        <v>1221205094</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186</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185</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6098</v>
      </c>
      <c r="C9" s="188">
        <v>223</v>
      </c>
      <c r="D9" s="188">
        <v>9</v>
      </c>
      <c r="E9" s="188">
        <v>51945</v>
      </c>
      <c r="F9" s="188">
        <v>1416</v>
      </c>
      <c r="G9" s="188">
        <v>666</v>
      </c>
      <c r="H9" s="188">
        <v>58043</v>
      </c>
      <c r="I9" s="188">
        <v>1639</v>
      </c>
      <c r="J9" s="188">
        <v>675</v>
      </c>
      <c r="K9" s="188">
        <v>13999</v>
      </c>
      <c r="L9" s="188">
        <v>94588</v>
      </c>
      <c r="M9" s="188">
        <v>108587</v>
      </c>
      <c r="N9" s="188">
        <v>531</v>
      </c>
      <c r="O9" s="188">
        <v>296</v>
      </c>
      <c r="P9" s="188">
        <v>3188</v>
      </c>
      <c r="Q9" s="188">
        <v>1830</v>
      </c>
      <c r="R9" s="188">
        <v>3719</v>
      </c>
      <c r="S9" s="188">
        <v>2126</v>
      </c>
      <c r="T9" s="188">
        <v>20</v>
      </c>
      <c r="U9" s="188">
        <v>889</v>
      </c>
      <c r="V9" s="188">
        <v>909</v>
      </c>
      <c r="W9" s="189" t="s">
        <v>125</v>
      </c>
      <c r="X9" s="189" t="s">
        <v>125</v>
      </c>
      <c r="Y9" s="189" t="s">
        <v>125</v>
      </c>
      <c r="Z9" s="188">
        <v>60357</v>
      </c>
      <c r="AA9" s="188">
        <v>60357</v>
      </c>
      <c r="AB9" s="188">
        <v>0</v>
      </c>
      <c r="AC9" s="188">
        <v>16137810</v>
      </c>
      <c r="AD9" s="188">
        <v>347183</v>
      </c>
      <c r="AE9" s="190">
        <v>16484993</v>
      </c>
    </row>
    <row r="10" spans="1:52" ht="15" customHeight="1">
      <c r="A10" s="187" t="s">
        <v>126</v>
      </c>
      <c r="B10" s="188">
        <v>1</v>
      </c>
      <c r="C10" s="188">
        <v>0</v>
      </c>
      <c r="D10" s="188">
        <v>0</v>
      </c>
      <c r="E10" s="188">
        <v>88</v>
      </c>
      <c r="F10" s="188">
        <v>0</v>
      </c>
      <c r="G10" s="188">
        <v>0</v>
      </c>
      <c r="H10" s="188">
        <v>89</v>
      </c>
      <c r="I10" s="188">
        <v>0</v>
      </c>
      <c r="J10" s="188">
        <v>0</v>
      </c>
      <c r="K10" s="188">
        <v>3</v>
      </c>
      <c r="L10" s="188">
        <v>140</v>
      </c>
      <c r="M10" s="188">
        <v>143</v>
      </c>
      <c r="N10" s="188">
        <v>0</v>
      </c>
      <c r="O10" s="188">
        <v>0</v>
      </c>
      <c r="P10" s="188">
        <v>0</v>
      </c>
      <c r="Q10" s="188">
        <v>0</v>
      </c>
      <c r="R10" s="188">
        <v>0</v>
      </c>
      <c r="S10" s="188">
        <v>0</v>
      </c>
      <c r="T10" s="188">
        <v>0</v>
      </c>
      <c r="U10" s="188">
        <v>0</v>
      </c>
      <c r="V10" s="188">
        <v>0</v>
      </c>
      <c r="W10" s="189" t="s">
        <v>125</v>
      </c>
      <c r="X10" s="189" t="s">
        <v>125</v>
      </c>
      <c r="Y10" s="189" t="s">
        <v>125</v>
      </c>
      <c r="Z10" s="188">
        <v>95</v>
      </c>
      <c r="AA10" s="188">
        <v>95</v>
      </c>
      <c r="AB10" s="188">
        <v>0</v>
      </c>
      <c r="AC10" s="188">
        <v>17092</v>
      </c>
      <c r="AD10" s="188">
        <v>0</v>
      </c>
      <c r="AE10" s="190">
        <v>17092</v>
      </c>
    </row>
    <row r="11" spans="1:52" ht="15" customHeight="1">
      <c r="A11" s="187" t="s">
        <v>127</v>
      </c>
      <c r="B11" s="188">
        <v>150</v>
      </c>
      <c r="C11" s="188">
        <v>0</v>
      </c>
      <c r="D11" s="188">
        <v>0</v>
      </c>
      <c r="E11" s="188">
        <v>1598</v>
      </c>
      <c r="F11" s="188">
        <v>1</v>
      </c>
      <c r="G11" s="188">
        <v>1</v>
      </c>
      <c r="H11" s="188">
        <v>1748</v>
      </c>
      <c r="I11" s="188">
        <v>1</v>
      </c>
      <c r="J11" s="188">
        <v>1</v>
      </c>
      <c r="K11" s="188">
        <v>395</v>
      </c>
      <c r="L11" s="188">
        <v>2897</v>
      </c>
      <c r="M11" s="188">
        <v>3292</v>
      </c>
      <c r="N11" s="188">
        <v>0</v>
      </c>
      <c r="O11" s="188">
        <v>0</v>
      </c>
      <c r="P11" s="188">
        <v>2</v>
      </c>
      <c r="Q11" s="188">
        <v>1</v>
      </c>
      <c r="R11" s="188">
        <v>2</v>
      </c>
      <c r="S11" s="188">
        <v>1</v>
      </c>
      <c r="T11" s="188">
        <v>0</v>
      </c>
      <c r="U11" s="188">
        <v>1</v>
      </c>
      <c r="V11" s="188">
        <v>1</v>
      </c>
      <c r="W11" s="189" t="s">
        <v>125</v>
      </c>
      <c r="X11" s="189" t="s">
        <v>125</v>
      </c>
      <c r="Y11" s="189" t="s">
        <v>125</v>
      </c>
      <c r="Z11" s="188">
        <v>1821</v>
      </c>
      <c r="AA11" s="188">
        <v>1821</v>
      </c>
      <c r="AB11" s="188">
        <v>0</v>
      </c>
      <c r="AC11" s="188">
        <v>444033</v>
      </c>
      <c r="AD11" s="188">
        <v>194</v>
      </c>
      <c r="AE11" s="190">
        <v>444227</v>
      </c>
    </row>
    <row r="12" spans="1:52" ht="15" customHeight="1">
      <c r="A12" s="187" t="s">
        <v>128</v>
      </c>
      <c r="B12" s="188">
        <v>1732</v>
      </c>
      <c r="C12" s="188">
        <v>9</v>
      </c>
      <c r="D12" s="188">
        <v>1</v>
      </c>
      <c r="E12" s="188">
        <v>15166</v>
      </c>
      <c r="F12" s="188">
        <v>42</v>
      </c>
      <c r="G12" s="188">
        <v>31</v>
      </c>
      <c r="H12" s="188">
        <v>16898</v>
      </c>
      <c r="I12" s="188">
        <v>51</v>
      </c>
      <c r="J12" s="188">
        <v>32</v>
      </c>
      <c r="K12" s="188">
        <v>4332</v>
      </c>
      <c r="L12" s="188">
        <v>27561</v>
      </c>
      <c r="M12" s="188">
        <v>31893</v>
      </c>
      <c r="N12" s="188">
        <v>15</v>
      </c>
      <c r="O12" s="188">
        <v>9</v>
      </c>
      <c r="P12" s="188">
        <v>127</v>
      </c>
      <c r="Q12" s="188">
        <v>44</v>
      </c>
      <c r="R12" s="188">
        <v>142</v>
      </c>
      <c r="S12" s="188">
        <v>53</v>
      </c>
      <c r="T12" s="188">
        <v>1</v>
      </c>
      <c r="U12" s="188">
        <v>37</v>
      </c>
      <c r="V12" s="188">
        <v>38</v>
      </c>
      <c r="W12" s="189" t="s">
        <v>125</v>
      </c>
      <c r="X12" s="189" t="s">
        <v>125</v>
      </c>
      <c r="Y12" s="189" t="s">
        <v>125</v>
      </c>
      <c r="Z12" s="188">
        <v>18070</v>
      </c>
      <c r="AA12" s="188">
        <v>18070</v>
      </c>
      <c r="AB12" s="188">
        <v>0</v>
      </c>
      <c r="AC12" s="188">
        <v>4381710</v>
      </c>
      <c r="AD12" s="188">
        <v>11652</v>
      </c>
      <c r="AE12" s="190">
        <v>4393362</v>
      </c>
    </row>
    <row r="13" spans="1:52" ht="15" customHeight="1">
      <c r="A13" s="187" t="s">
        <v>129</v>
      </c>
      <c r="B13" s="188">
        <v>198</v>
      </c>
      <c r="C13" s="188">
        <v>0</v>
      </c>
      <c r="D13" s="188">
        <v>0</v>
      </c>
      <c r="E13" s="188">
        <v>2613</v>
      </c>
      <c r="F13" s="188">
        <v>7</v>
      </c>
      <c r="G13" s="188">
        <v>3</v>
      </c>
      <c r="H13" s="188">
        <v>2811</v>
      </c>
      <c r="I13" s="188">
        <v>7</v>
      </c>
      <c r="J13" s="188">
        <v>3</v>
      </c>
      <c r="K13" s="188">
        <v>531</v>
      </c>
      <c r="L13" s="188">
        <v>4663</v>
      </c>
      <c r="M13" s="188">
        <v>5194</v>
      </c>
      <c r="N13" s="188">
        <v>0</v>
      </c>
      <c r="O13" s="188">
        <v>0</v>
      </c>
      <c r="P13" s="188">
        <v>11</v>
      </c>
      <c r="Q13" s="188">
        <v>10</v>
      </c>
      <c r="R13" s="188">
        <v>11</v>
      </c>
      <c r="S13" s="188">
        <v>10</v>
      </c>
      <c r="T13" s="188">
        <v>0</v>
      </c>
      <c r="U13" s="188">
        <v>4</v>
      </c>
      <c r="V13" s="188">
        <v>4</v>
      </c>
      <c r="W13" s="189" t="s">
        <v>125</v>
      </c>
      <c r="X13" s="189" t="s">
        <v>125</v>
      </c>
      <c r="Y13" s="189" t="s">
        <v>125</v>
      </c>
      <c r="Z13" s="188">
        <v>2984</v>
      </c>
      <c r="AA13" s="188">
        <v>2984</v>
      </c>
      <c r="AB13" s="188">
        <v>0</v>
      </c>
      <c r="AC13" s="188">
        <v>695713</v>
      </c>
      <c r="AD13" s="188">
        <v>1962</v>
      </c>
      <c r="AE13" s="190">
        <v>697675</v>
      </c>
    </row>
    <row r="14" spans="1:52" ht="15" customHeight="1">
      <c r="A14" s="187" t="s">
        <v>130</v>
      </c>
      <c r="B14" s="188">
        <v>70</v>
      </c>
      <c r="C14" s="188">
        <v>1</v>
      </c>
      <c r="D14" s="188">
        <v>0</v>
      </c>
      <c r="E14" s="188">
        <v>574</v>
      </c>
      <c r="F14" s="188">
        <v>2</v>
      </c>
      <c r="G14" s="188">
        <v>0</v>
      </c>
      <c r="H14" s="188">
        <v>644</v>
      </c>
      <c r="I14" s="188">
        <v>3</v>
      </c>
      <c r="J14" s="188">
        <v>0</v>
      </c>
      <c r="K14" s="188">
        <v>175</v>
      </c>
      <c r="L14" s="188">
        <v>1270</v>
      </c>
      <c r="M14" s="188">
        <v>1445</v>
      </c>
      <c r="N14" s="188">
        <v>2</v>
      </c>
      <c r="O14" s="188">
        <v>1</v>
      </c>
      <c r="P14" s="188">
        <v>5</v>
      </c>
      <c r="Q14" s="188">
        <v>3</v>
      </c>
      <c r="R14" s="188">
        <v>7</v>
      </c>
      <c r="S14" s="188">
        <v>4</v>
      </c>
      <c r="T14" s="188">
        <v>0</v>
      </c>
      <c r="U14" s="188">
        <v>0</v>
      </c>
      <c r="V14" s="188">
        <v>0</v>
      </c>
      <c r="W14" s="189" t="s">
        <v>125</v>
      </c>
      <c r="X14" s="189" t="s">
        <v>125</v>
      </c>
      <c r="Y14" s="189" t="s">
        <v>125</v>
      </c>
      <c r="Z14" s="188">
        <v>703</v>
      </c>
      <c r="AA14" s="188">
        <v>703</v>
      </c>
      <c r="AB14" s="188">
        <v>0</v>
      </c>
      <c r="AC14" s="188">
        <v>192285</v>
      </c>
      <c r="AD14" s="188">
        <v>446</v>
      </c>
      <c r="AE14" s="190">
        <v>192731</v>
      </c>
    </row>
    <row r="15" spans="1:52" ht="15" customHeight="1">
      <c r="A15" s="187" t="s">
        <v>131</v>
      </c>
      <c r="B15" s="188">
        <v>4060</v>
      </c>
      <c r="C15" s="188">
        <v>108</v>
      </c>
      <c r="D15" s="188">
        <v>2</v>
      </c>
      <c r="E15" s="188">
        <v>29228</v>
      </c>
      <c r="F15" s="188">
        <v>360</v>
      </c>
      <c r="G15" s="188">
        <v>153</v>
      </c>
      <c r="H15" s="188">
        <v>33288</v>
      </c>
      <c r="I15" s="188">
        <v>468</v>
      </c>
      <c r="J15" s="188">
        <v>155</v>
      </c>
      <c r="K15" s="188">
        <v>9277</v>
      </c>
      <c r="L15" s="188">
        <v>55919</v>
      </c>
      <c r="M15" s="188">
        <v>65196</v>
      </c>
      <c r="N15" s="188">
        <v>254</v>
      </c>
      <c r="O15" s="188">
        <v>151</v>
      </c>
      <c r="P15" s="188">
        <v>838</v>
      </c>
      <c r="Q15" s="188">
        <v>484</v>
      </c>
      <c r="R15" s="188">
        <v>1092</v>
      </c>
      <c r="S15" s="188">
        <v>635</v>
      </c>
      <c r="T15" s="188">
        <v>2</v>
      </c>
      <c r="U15" s="188">
        <v>203</v>
      </c>
      <c r="V15" s="188">
        <v>205</v>
      </c>
      <c r="W15" s="189" t="s">
        <v>125</v>
      </c>
      <c r="X15" s="189" t="s">
        <v>125</v>
      </c>
      <c r="Y15" s="189" t="s">
        <v>125</v>
      </c>
      <c r="Z15" s="188">
        <v>39695</v>
      </c>
      <c r="AA15" s="188">
        <v>39695</v>
      </c>
      <c r="AB15" s="188">
        <v>0</v>
      </c>
      <c r="AC15" s="188">
        <v>9615292</v>
      </c>
      <c r="AD15" s="188">
        <v>89008</v>
      </c>
      <c r="AE15" s="190">
        <v>9704300</v>
      </c>
    </row>
    <row r="16" spans="1:52" s="191" customFormat="1" ht="15" customHeight="1">
      <c r="A16" s="187" t="s">
        <v>132</v>
      </c>
      <c r="B16" s="188">
        <v>387</v>
      </c>
      <c r="C16" s="188">
        <v>0</v>
      </c>
      <c r="D16" s="188">
        <v>0</v>
      </c>
      <c r="E16" s="188">
        <v>2204</v>
      </c>
      <c r="F16" s="188">
        <v>1</v>
      </c>
      <c r="G16" s="188">
        <v>0</v>
      </c>
      <c r="H16" s="188">
        <v>2591</v>
      </c>
      <c r="I16" s="188">
        <v>1</v>
      </c>
      <c r="J16" s="188">
        <v>0</v>
      </c>
      <c r="K16" s="188">
        <v>1106</v>
      </c>
      <c r="L16" s="188">
        <v>4175</v>
      </c>
      <c r="M16" s="188">
        <v>5281</v>
      </c>
      <c r="N16" s="188">
        <v>0</v>
      </c>
      <c r="O16" s="188">
        <v>0</v>
      </c>
      <c r="P16" s="188">
        <v>2</v>
      </c>
      <c r="Q16" s="188">
        <v>1</v>
      </c>
      <c r="R16" s="188">
        <v>2</v>
      </c>
      <c r="S16" s="188">
        <v>1</v>
      </c>
      <c r="T16" s="188">
        <v>0</v>
      </c>
      <c r="U16" s="188">
        <v>0</v>
      </c>
      <c r="V16" s="188">
        <v>0</v>
      </c>
      <c r="W16" s="189" t="s">
        <v>125</v>
      </c>
      <c r="X16" s="189" t="s">
        <v>125</v>
      </c>
      <c r="Y16" s="189" t="s">
        <v>125</v>
      </c>
      <c r="Z16" s="188">
        <v>2751</v>
      </c>
      <c r="AA16" s="188">
        <v>2751</v>
      </c>
      <c r="AB16" s="188">
        <v>0</v>
      </c>
      <c r="AC16" s="188">
        <v>720680</v>
      </c>
      <c r="AD16" s="188">
        <v>0</v>
      </c>
      <c r="AE16" s="190">
        <v>720680</v>
      </c>
      <c r="AY16" s="192"/>
      <c r="AZ16" s="192"/>
    </row>
    <row r="17" spans="1:52" s="191" customFormat="1" ht="15" customHeight="1">
      <c r="A17" s="187" t="s">
        <v>133</v>
      </c>
      <c r="B17" s="188">
        <v>538</v>
      </c>
      <c r="C17" s="188">
        <v>1</v>
      </c>
      <c r="D17" s="188">
        <v>0</v>
      </c>
      <c r="E17" s="188">
        <v>6622</v>
      </c>
      <c r="F17" s="188">
        <v>32</v>
      </c>
      <c r="G17" s="188">
        <v>8</v>
      </c>
      <c r="H17" s="188">
        <v>7160</v>
      </c>
      <c r="I17" s="188">
        <v>33</v>
      </c>
      <c r="J17" s="188">
        <v>8</v>
      </c>
      <c r="K17" s="188">
        <v>1298</v>
      </c>
      <c r="L17" s="188">
        <v>11401</v>
      </c>
      <c r="M17" s="188">
        <v>12699</v>
      </c>
      <c r="N17" s="188">
        <v>1</v>
      </c>
      <c r="O17" s="188">
        <v>1</v>
      </c>
      <c r="P17" s="188">
        <v>86</v>
      </c>
      <c r="Q17" s="188">
        <v>39</v>
      </c>
      <c r="R17" s="188">
        <v>87</v>
      </c>
      <c r="S17" s="188">
        <v>40</v>
      </c>
      <c r="T17" s="188">
        <v>0</v>
      </c>
      <c r="U17" s="188">
        <v>9</v>
      </c>
      <c r="V17" s="188">
        <v>9</v>
      </c>
      <c r="W17" s="189" t="s">
        <v>125</v>
      </c>
      <c r="X17" s="189" t="s">
        <v>125</v>
      </c>
      <c r="Y17" s="189" t="s">
        <v>125</v>
      </c>
      <c r="Z17" s="188">
        <v>7554</v>
      </c>
      <c r="AA17" s="188">
        <v>7554</v>
      </c>
      <c r="AB17" s="188">
        <v>0</v>
      </c>
      <c r="AC17" s="188">
        <v>1736921</v>
      </c>
      <c r="AD17" s="188">
        <v>4536</v>
      </c>
      <c r="AE17" s="190">
        <v>1741457</v>
      </c>
      <c r="AY17" s="192"/>
      <c r="AZ17" s="192"/>
    </row>
    <row r="18" spans="1:52" s="191" customFormat="1" ht="15" customHeight="1">
      <c r="A18" s="187" t="s">
        <v>134</v>
      </c>
      <c r="B18" s="188">
        <v>12253</v>
      </c>
      <c r="C18" s="188">
        <v>186</v>
      </c>
      <c r="D18" s="188">
        <v>12</v>
      </c>
      <c r="E18" s="188">
        <v>80673</v>
      </c>
      <c r="F18" s="188">
        <v>668</v>
      </c>
      <c r="G18" s="188">
        <v>219</v>
      </c>
      <c r="H18" s="188">
        <v>92926</v>
      </c>
      <c r="I18" s="188">
        <v>854</v>
      </c>
      <c r="J18" s="188">
        <v>231</v>
      </c>
      <c r="K18" s="188">
        <v>33065</v>
      </c>
      <c r="L18" s="188">
        <v>181306</v>
      </c>
      <c r="M18" s="188">
        <v>214371</v>
      </c>
      <c r="N18" s="188">
        <v>464</v>
      </c>
      <c r="O18" s="188">
        <v>220</v>
      </c>
      <c r="P18" s="188">
        <v>1821</v>
      </c>
      <c r="Q18" s="188">
        <v>770</v>
      </c>
      <c r="R18" s="188">
        <v>2285</v>
      </c>
      <c r="S18" s="188">
        <v>990</v>
      </c>
      <c r="T18" s="188">
        <v>25</v>
      </c>
      <c r="U18" s="188">
        <v>273</v>
      </c>
      <c r="V18" s="188">
        <v>298</v>
      </c>
      <c r="W18" s="189" t="s">
        <v>125</v>
      </c>
      <c r="X18" s="189" t="s">
        <v>125</v>
      </c>
      <c r="Y18" s="189" t="s">
        <v>125</v>
      </c>
      <c r="Z18" s="188">
        <v>106769</v>
      </c>
      <c r="AA18" s="188">
        <v>106769</v>
      </c>
      <c r="AB18" s="188">
        <v>0</v>
      </c>
      <c r="AC18" s="188">
        <v>31782157</v>
      </c>
      <c r="AD18" s="188">
        <v>172199</v>
      </c>
      <c r="AE18" s="190">
        <v>31954356</v>
      </c>
      <c r="AY18" s="192"/>
      <c r="AZ18" s="192"/>
    </row>
    <row r="19" spans="1:52" s="191" customFormat="1" ht="15" customHeight="1">
      <c r="A19" s="187" t="s">
        <v>135</v>
      </c>
      <c r="B19" s="188">
        <v>217</v>
      </c>
      <c r="C19" s="188">
        <v>1</v>
      </c>
      <c r="D19" s="188">
        <v>0</v>
      </c>
      <c r="E19" s="188">
        <v>1334</v>
      </c>
      <c r="F19" s="188">
        <v>11</v>
      </c>
      <c r="G19" s="188">
        <v>0</v>
      </c>
      <c r="H19" s="188">
        <v>1551</v>
      </c>
      <c r="I19" s="188">
        <v>12</v>
      </c>
      <c r="J19" s="188">
        <v>0</v>
      </c>
      <c r="K19" s="188">
        <v>577</v>
      </c>
      <c r="L19" s="188">
        <v>3002</v>
      </c>
      <c r="M19" s="188">
        <v>3579</v>
      </c>
      <c r="N19" s="188">
        <v>4</v>
      </c>
      <c r="O19" s="188">
        <v>1</v>
      </c>
      <c r="P19" s="188">
        <v>37</v>
      </c>
      <c r="Q19" s="188">
        <v>11</v>
      </c>
      <c r="R19" s="188">
        <v>41</v>
      </c>
      <c r="S19" s="188">
        <v>12</v>
      </c>
      <c r="T19" s="188">
        <v>0</v>
      </c>
      <c r="U19" s="188">
        <v>0</v>
      </c>
      <c r="V19" s="188">
        <v>0</v>
      </c>
      <c r="W19" s="189" t="s">
        <v>125</v>
      </c>
      <c r="X19" s="189" t="s">
        <v>125</v>
      </c>
      <c r="Y19" s="189" t="s">
        <v>125</v>
      </c>
      <c r="Z19" s="188">
        <v>1677</v>
      </c>
      <c r="AA19" s="188">
        <v>1677</v>
      </c>
      <c r="AB19" s="188">
        <v>0</v>
      </c>
      <c r="AC19" s="188">
        <v>447131</v>
      </c>
      <c r="AD19" s="188">
        <v>682</v>
      </c>
      <c r="AE19" s="190">
        <v>447813</v>
      </c>
      <c r="AY19" s="192"/>
      <c r="AZ19" s="192"/>
    </row>
    <row r="20" spans="1:52" s="191" customFormat="1" ht="15" customHeight="1">
      <c r="A20" s="187" t="s">
        <v>136</v>
      </c>
      <c r="B20" s="188">
        <v>923</v>
      </c>
      <c r="C20" s="188">
        <v>0</v>
      </c>
      <c r="D20" s="188">
        <v>0</v>
      </c>
      <c r="E20" s="188">
        <v>11546</v>
      </c>
      <c r="F20" s="188">
        <v>29</v>
      </c>
      <c r="G20" s="188">
        <v>9</v>
      </c>
      <c r="H20" s="188">
        <v>12469</v>
      </c>
      <c r="I20" s="188">
        <v>29</v>
      </c>
      <c r="J20" s="188">
        <v>9</v>
      </c>
      <c r="K20" s="188">
        <v>2273</v>
      </c>
      <c r="L20" s="188">
        <v>18844</v>
      </c>
      <c r="M20" s="188">
        <v>21117</v>
      </c>
      <c r="N20" s="188">
        <v>0</v>
      </c>
      <c r="O20" s="188">
        <v>0</v>
      </c>
      <c r="P20" s="188">
        <v>64</v>
      </c>
      <c r="Q20" s="188">
        <v>34</v>
      </c>
      <c r="R20" s="188">
        <v>64</v>
      </c>
      <c r="S20" s="188">
        <v>34</v>
      </c>
      <c r="T20" s="188">
        <v>0</v>
      </c>
      <c r="U20" s="188">
        <v>11</v>
      </c>
      <c r="V20" s="188">
        <v>11</v>
      </c>
      <c r="W20" s="189" t="s">
        <v>125</v>
      </c>
      <c r="X20" s="189" t="s">
        <v>125</v>
      </c>
      <c r="Y20" s="189" t="s">
        <v>125</v>
      </c>
      <c r="Z20" s="188">
        <v>13161</v>
      </c>
      <c r="AA20" s="188">
        <v>13161</v>
      </c>
      <c r="AB20" s="188">
        <v>0</v>
      </c>
      <c r="AC20" s="188">
        <v>2941675</v>
      </c>
      <c r="AD20" s="188">
        <v>5689</v>
      </c>
      <c r="AE20" s="190">
        <v>2947364</v>
      </c>
      <c r="AY20" s="192"/>
      <c r="AZ20" s="192"/>
    </row>
    <row r="21" spans="1:52" s="191" customFormat="1" ht="15" customHeight="1">
      <c r="A21" s="187" t="s">
        <v>137</v>
      </c>
      <c r="B21" s="188">
        <v>2265</v>
      </c>
      <c r="C21" s="188">
        <v>28</v>
      </c>
      <c r="D21" s="188">
        <v>4</v>
      </c>
      <c r="E21" s="188">
        <v>14964</v>
      </c>
      <c r="F21" s="188">
        <v>315</v>
      </c>
      <c r="G21" s="188">
        <v>56</v>
      </c>
      <c r="H21" s="188">
        <v>17229</v>
      </c>
      <c r="I21" s="188">
        <v>343</v>
      </c>
      <c r="J21" s="188">
        <v>60</v>
      </c>
      <c r="K21" s="188">
        <v>6405</v>
      </c>
      <c r="L21" s="188">
        <v>35159</v>
      </c>
      <c r="M21" s="188">
        <v>41564</v>
      </c>
      <c r="N21" s="188">
        <v>74</v>
      </c>
      <c r="O21" s="188">
        <v>28</v>
      </c>
      <c r="P21" s="188">
        <v>836</v>
      </c>
      <c r="Q21" s="188">
        <v>352</v>
      </c>
      <c r="R21" s="188">
        <v>910</v>
      </c>
      <c r="S21" s="188">
        <v>380</v>
      </c>
      <c r="T21" s="188">
        <v>4</v>
      </c>
      <c r="U21" s="188">
        <v>64</v>
      </c>
      <c r="V21" s="188">
        <v>68</v>
      </c>
      <c r="W21" s="189" t="s">
        <v>125</v>
      </c>
      <c r="X21" s="189" t="s">
        <v>125</v>
      </c>
      <c r="Y21" s="189" t="s">
        <v>125</v>
      </c>
      <c r="Z21" s="188">
        <v>18787</v>
      </c>
      <c r="AA21" s="188">
        <v>18787</v>
      </c>
      <c r="AB21" s="188">
        <v>0</v>
      </c>
      <c r="AC21" s="188">
        <v>5478380</v>
      </c>
      <c r="AD21" s="188">
        <v>48950</v>
      </c>
      <c r="AE21" s="190">
        <v>5527330</v>
      </c>
      <c r="AY21" s="192"/>
      <c r="AZ21" s="192"/>
    </row>
    <row r="22" spans="1:52" s="191" customFormat="1" ht="15" customHeight="1">
      <c r="A22" s="187" t="s">
        <v>138</v>
      </c>
      <c r="B22" s="188">
        <v>92</v>
      </c>
      <c r="C22" s="188">
        <v>0</v>
      </c>
      <c r="D22" s="188">
        <v>1</v>
      </c>
      <c r="E22" s="188">
        <v>965</v>
      </c>
      <c r="F22" s="188">
        <v>6</v>
      </c>
      <c r="G22" s="188">
        <v>0</v>
      </c>
      <c r="H22" s="188">
        <v>1057</v>
      </c>
      <c r="I22" s="188">
        <v>6</v>
      </c>
      <c r="J22" s="188">
        <v>1</v>
      </c>
      <c r="K22" s="188">
        <v>252</v>
      </c>
      <c r="L22" s="188">
        <v>1779</v>
      </c>
      <c r="M22" s="188">
        <v>2031</v>
      </c>
      <c r="N22" s="188">
        <v>0</v>
      </c>
      <c r="O22" s="188">
        <v>0</v>
      </c>
      <c r="P22" s="188">
        <v>15</v>
      </c>
      <c r="Q22" s="188">
        <v>7</v>
      </c>
      <c r="R22" s="188">
        <v>15</v>
      </c>
      <c r="S22" s="188">
        <v>7</v>
      </c>
      <c r="T22" s="188">
        <v>1</v>
      </c>
      <c r="U22" s="188">
        <v>0</v>
      </c>
      <c r="V22" s="188">
        <v>1</v>
      </c>
      <c r="W22" s="189" t="s">
        <v>125</v>
      </c>
      <c r="X22" s="189" t="s">
        <v>125</v>
      </c>
      <c r="Y22" s="189" t="s">
        <v>125</v>
      </c>
      <c r="Z22" s="188">
        <v>1117</v>
      </c>
      <c r="AA22" s="188">
        <v>1117</v>
      </c>
      <c r="AB22" s="188">
        <v>0</v>
      </c>
      <c r="AC22" s="188">
        <v>260031</v>
      </c>
      <c r="AD22" s="188">
        <v>526</v>
      </c>
      <c r="AE22" s="190">
        <v>260557</v>
      </c>
      <c r="AY22" s="192"/>
      <c r="AZ22" s="192"/>
    </row>
    <row r="23" spans="1:52" s="191" customFormat="1" ht="15" customHeight="1">
      <c r="A23" s="187" t="s">
        <v>139</v>
      </c>
      <c r="B23" s="188">
        <v>9833</v>
      </c>
      <c r="C23" s="188">
        <v>50</v>
      </c>
      <c r="D23" s="188">
        <v>1</v>
      </c>
      <c r="E23" s="188">
        <v>60415</v>
      </c>
      <c r="F23" s="188">
        <v>424</v>
      </c>
      <c r="G23" s="188">
        <v>274</v>
      </c>
      <c r="H23" s="188">
        <v>70248</v>
      </c>
      <c r="I23" s="188">
        <v>474</v>
      </c>
      <c r="J23" s="188">
        <v>275</v>
      </c>
      <c r="K23" s="188">
        <v>26286</v>
      </c>
      <c r="L23" s="188">
        <v>135850</v>
      </c>
      <c r="M23" s="188">
        <v>162136</v>
      </c>
      <c r="N23" s="188">
        <v>123</v>
      </c>
      <c r="O23" s="188">
        <v>55</v>
      </c>
      <c r="P23" s="188">
        <v>1152</v>
      </c>
      <c r="Q23" s="188">
        <v>470</v>
      </c>
      <c r="R23" s="188">
        <v>1275</v>
      </c>
      <c r="S23" s="188">
        <v>525</v>
      </c>
      <c r="T23" s="188">
        <v>1</v>
      </c>
      <c r="U23" s="188">
        <v>430</v>
      </c>
      <c r="V23" s="188">
        <v>431</v>
      </c>
      <c r="W23" s="189" t="s">
        <v>125</v>
      </c>
      <c r="X23" s="189" t="s">
        <v>125</v>
      </c>
      <c r="Y23" s="189" t="s">
        <v>125</v>
      </c>
      <c r="Z23" s="188">
        <v>75464</v>
      </c>
      <c r="AA23" s="188">
        <v>75464</v>
      </c>
      <c r="AB23" s="188">
        <v>0</v>
      </c>
      <c r="AC23" s="188">
        <v>21919434</v>
      </c>
      <c r="AD23" s="188">
        <v>124406</v>
      </c>
      <c r="AE23" s="190">
        <v>22043840</v>
      </c>
      <c r="AY23" s="192"/>
      <c r="AZ23" s="192"/>
    </row>
    <row r="24" spans="1:52" s="191" customFormat="1" ht="15" customHeight="1">
      <c r="A24" s="187" t="s">
        <v>140</v>
      </c>
      <c r="B24" s="188">
        <v>1413</v>
      </c>
      <c r="C24" s="188">
        <v>14</v>
      </c>
      <c r="D24" s="188">
        <v>2</v>
      </c>
      <c r="E24" s="188">
        <v>9241</v>
      </c>
      <c r="F24" s="188">
        <v>111</v>
      </c>
      <c r="G24" s="188">
        <v>23</v>
      </c>
      <c r="H24" s="188">
        <v>10654</v>
      </c>
      <c r="I24" s="188">
        <v>125</v>
      </c>
      <c r="J24" s="188">
        <v>25</v>
      </c>
      <c r="K24" s="188">
        <v>3879</v>
      </c>
      <c r="L24" s="188">
        <v>20093</v>
      </c>
      <c r="M24" s="188">
        <v>23972</v>
      </c>
      <c r="N24" s="188">
        <v>39</v>
      </c>
      <c r="O24" s="188">
        <v>14</v>
      </c>
      <c r="P24" s="188">
        <v>322</v>
      </c>
      <c r="Q24" s="188">
        <v>116</v>
      </c>
      <c r="R24" s="188">
        <v>361</v>
      </c>
      <c r="S24" s="188">
        <v>130</v>
      </c>
      <c r="T24" s="188">
        <v>2</v>
      </c>
      <c r="U24" s="188">
        <v>29</v>
      </c>
      <c r="V24" s="188">
        <v>31</v>
      </c>
      <c r="W24" s="189" t="s">
        <v>125</v>
      </c>
      <c r="X24" s="189" t="s">
        <v>125</v>
      </c>
      <c r="Y24" s="189" t="s">
        <v>125</v>
      </c>
      <c r="Z24" s="188">
        <v>11466</v>
      </c>
      <c r="AA24" s="188">
        <v>11466</v>
      </c>
      <c r="AB24" s="188">
        <v>0</v>
      </c>
      <c r="AC24" s="188">
        <v>2965659</v>
      </c>
      <c r="AD24" s="188">
        <v>16473</v>
      </c>
      <c r="AE24" s="190">
        <v>2982132</v>
      </c>
      <c r="AY24" s="192"/>
      <c r="AZ24" s="192"/>
    </row>
    <row r="25" spans="1:52" s="191" customFormat="1" ht="15" customHeight="1">
      <c r="A25" s="187" t="s">
        <v>141</v>
      </c>
      <c r="B25" s="188">
        <v>585</v>
      </c>
      <c r="C25" s="188">
        <v>4</v>
      </c>
      <c r="D25" s="188">
        <v>0</v>
      </c>
      <c r="E25" s="188">
        <v>5972</v>
      </c>
      <c r="F25" s="188">
        <v>25</v>
      </c>
      <c r="G25" s="188">
        <v>9</v>
      </c>
      <c r="H25" s="188">
        <v>6557</v>
      </c>
      <c r="I25" s="188">
        <v>29</v>
      </c>
      <c r="J25" s="188">
        <v>9</v>
      </c>
      <c r="K25" s="188">
        <v>1500</v>
      </c>
      <c r="L25" s="188">
        <v>10765</v>
      </c>
      <c r="M25" s="188">
        <v>12265</v>
      </c>
      <c r="N25" s="188">
        <v>10</v>
      </c>
      <c r="O25" s="188">
        <v>4</v>
      </c>
      <c r="P25" s="188">
        <v>65</v>
      </c>
      <c r="Q25" s="188">
        <v>27</v>
      </c>
      <c r="R25" s="188">
        <v>75</v>
      </c>
      <c r="S25" s="188">
        <v>31</v>
      </c>
      <c r="T25" s="188">
        <v>0</v>
      </c>
      <c r="U25" s="188">
        <v>11</v>
      </c>
      <c r="V25" s="188">
        <v>11</v>
      </c>
      <c r="W25" s="189" t="s">
        <v>125</v>
      </c>
      <c r="X25" s="189" t="s">
        <v>125</v>
      </c>
      <c r="Y25" s="189" t="s">
        <v>125</v>
      </c>
      <c r="Z25" s="188">
        <v>9885</v>
      </c>
      <c r="AA25" s="188">
        <v>9885</v>
      </c>
      <c r="AB25" s="188">
        <v>0</v>
      </c>
      <c r="AC25" s="188">
        <v>1673819</v>
      </c>
      <c r="AD25" s="188">
        <v>3821</v>
      </c>
      <c r="AE25" s="190">
        <v>1677640</v>
      </c>
      <c r="AY25" s="192"/>
      <c r="AZ25" s="192"/>
    </row>
    <row r="26" spans="1:52" s="191" customFormat="1" ht="15" customHeight="1">
      <c r="A26" s="187" t="s">
        <v>142</v>
      </c>
      <c r="B26" s="188">
        <v>221</v>
      </c>
      <c r="C26" s="188">
        <v>0</v>
      </c>
      <c r="D26" s="188">
        <v>0</v>
      </c>
      <c r="E26" s="188">
        <v>1344</v>
      </c>
      <c r="F26" s="188">
        <v>3</v>
      </c>
      <c r="G26" s="188">
        <v>0</v>
      </c>
      <c r="H26" s="188">
        <v>1565</v>
      </c>
      <c r="I26" s="188">
        <v>3</v>
      </c>
      <c r="J26" s="188">
        <v>0</v>
      </c>
      <c r="K26" s="188">
        <v>610</v>
      </c>
      <c r="L26" s="188">
        <v>2500</v>
      </c>
      <c r="M26" s="188">
        <v>3110</v>
      </c>
      <c r="N26" s="188">
        <v>0</v>
      </c>
      <c r="O26" s="188">
        <v>0</v>
      </c>
      <c r="P26" s="188">
        <v>6</v>
      </c>
      <c r="Q26" s="188">
        <v>4</v>
      </c>
      <c r="R26" s="188">
        <v>6</v>
      </c>
      <c r="S26" s="188">
        <v>4</v>
      </c>
      <c r="T26" s="188">
        <v>0</v>
      </c>
      <c r="U26" s="188">
        <v>0</v>
      </c>
      <c r="V26" s="188">
        <v>0</v>
      </c>
      <c r="W26" s="189" t="s">
        <v>125</v>
      </c>
      <c r="X26" s="189" t="s">
        <v>125</v>
      </c>
      <c r="Y26" s="189" t="s">
        <v>125</v>
      </c>
      <c r="Z26" s="188">
        <v>1672</v>
      </c>
      <c r="AA26" s="188">
        <v>1672</v>
      </c>
      <c r="AB26" s="188">
        <v>0</v>
      </c>
      <c r="AC26" s="188">
        <v>437851</v>
      </c>
      <c r="AD26" s="188">
        <v>0</v>
      </c>
      <c r="AE26" s="190">
        <v>437851</v>
      </c>
      <c r="AY26" s="192"/>
      <c r="AZ26" s="192"/>
    </row>
    <row r="27" spans="1:52" s="191" customFormat="1" ht="15" customHeight="1">
      <c r="A27" s="187" t="s">
        <v>213</v>
      </c>
      <c r="B27" s="188">
        <v>83673</v>
      </c>
      <c r="C27" s="188">
        <v>2202</v>
      </c>
      <c r="D27" s="188">
        <v>35</v>
      </c>
      <c r="E27" s="188">
        <v>460763</v>
      </c>
      <c r="F27" s="188">
        <v>5373</v>
      </c>
      <c r="G27" s="188">
        <v>3513</v>
      </c>
      <c r="H27" s="188">
        <v>544436</v>
      </c>
      <c r="I27" s="188">
        <v>7575</v>
      </c>
      <c r="J27" s="188">
        <v>3548</v>
      </c>
      <c r="K27" s="188">
        <v>206276</v>
      </c>
      <c r="L27" s="188">
        <v>873552</v>
      </c>
      <c r="M27" s="188">
        <v>1079828</v>
      </c>
      <c r="N27" s="188">
        <v>4575</v>
      </c>
      <c r="O27" s="188">
        <v>3028</v>
      </c>
      <c r="P27" s="188">
        <v>12374</v>
      </c>
      <c r="Q27" s="188">
        <v>6659</v>
      </c>
      <c r="R27" s="188">
        <v>16949</v>
      </c>
      <c r="S27" s="188">
        <v>9687</v>
      </c>
      <c r="T27" s="188">
        <v>58</v>
      </c>
      <c r="U27" s="188">
        <v>4517</v>
      </c>
      <c r="V27" s="188">
        <v>4575</v>
      </c>
      <c r="W27" s="189" t="s">
        <v>125</v>
      </c>
      <c r="X27" s="189" t="s">
        <v>125</v>
      </c>
      <c r="Y27" s="189" t="s">
        <v>125</v>
      </c>
      <c r="Z27" s="188">
        <v>594495</v>
      </c>
      <c r="AA27" s="188">
        <v>594495</v>
      </c>
      <c r="AB27" s="188">
        <v>0</v>
      </c>
      <c r="AC27" s="188">
        <v>161696413</v>
      </c>
      <c r="AD27" s="188">
        <v>1878622</v>
      </c>
      <c r="AE27" s="190">
        <v>163575035</v>
      </c>
      <c r="AY27" s="192"/>
      <c r="AZ27" s="192"/>
    </row>
    <row r="28" spans="1:52" s="191" customFormat="1" ht="15" customHeight="1">
      <c r="A28" s="187" t="s">
        <v>144</v>
      </c>
      <c r="B28" s="188">
        <v>1673</v>
      </c>
      <c r="C28" s="188">
        <v>8</v>
      </c>
      <c r="D28" s="188">
        <v>1</v>
      </c>
      <c r="E28" s="188">
        <v>10155</v>
      </c>
      <c r="F28" s="188">
        <v>56</v>
      </c>
      <c r="G28" s="188">
        <v>6</v>
      </c>
      <c r="H28" s="188">
        <v>11828</v>
      </c>
      <c r="I28" s="188">
        <v>64</v>
      </c>
      <c r="J28" s="188">
        <v>7</v>
      </c>
      <c r="K28" s="188">
        <v>4604</v>
      </c>
      <c r="L28" s="188">
        <v>23943</v>
      </c>
      <c r="M28" s="188">
        <v>28547</v>
      </c>
      <c r="N28" s="188">
        <v>22</v>
      </c>
      <c r="O28" s="188">
        <v>9</v>
      </c>
      <c r="P28" s="188">
        <v>175</v>
      </c>
      <c r="Q28" s="188">
        <v>58</v>
      </c>
      <c r="R28" s="188">
        <v>197</v>
      </c>
      <c r="S28" s="188">
        <v>67</v>
      </c>
      <c r="T28" s="188">
        <v>1</v>
      </c>
      <c r="U28" s="188">
        <v>9</v>
      </c>
      <c r="V28" s="188">
        <v>10</v>
      </c>
      <c r="W28" s="189" t="s">
        <v>125</v>
      </c>
      <c r="X28" s="189" t="s">
        <v>125</v>
      </c>
      <c r="Y28" s="189" t="s">
        <v>125</v>
      </c>
      <c r="Z28" s="188">
        <v>9121</v>
      </c>
      <c r="AA28" s="188">
        <v>9121</v>
      </c>
      <c r="AB28" s="188">
        <v>0</v>
      </c>
      <c r="AC28" s="188">
        <v>3761349</v>
      </c>
      <c r="AD28" s="188">
        <v>6273</v>
      </c>
      <c r="AE28" s="190">
        <v>3767622</v>
      </c>
      <c r="AY28" s="192"/>
      <c r="AZ28" s="192"/>
    </row>
    <row r="29" spans="1:52" s="191" customFormat="1" ht="15" customHeight="1">
      <c r="A29" s="187" t="s">
        <v>145</v>
      </c>
      <c r="B29" s="188">
        <v>540</v>
      </c>
      <c r="C29" s="188">
        <v>31</v>
      </c>
      <c r="D29" s="188">
        <v>3</v>
      </c>
      <c r="E29" s="188">
        <v>5423</v>
      </c>
      <c r="F29" s="188">
        <v>217</v>
      </c>
      <c r="G29" s="188">
        <v>73</v>
      </c>
      <c r="H29" s="188">
        <v>5963</v>
      </c>
      <c r="I29" s="188">
        <v>248</v>
      </c>
      <c r="J29" s="188">
        <v>76</v>
      </c>
      <c r="K29" s="188">
        <v>1185</v>
      </c>
      <c r="L29" s="188">
        <v>8235</v>
      </c>
      <c r="M29" s="188">
        <v>9420</v>
      </c>
      <c r="N29" s="188">
        <v>71</v>
      </c>
      <c r="O29" s="188">
        <v>35</v>
      </c>
      <c r="P29" s="188">
        <v>432</v>
      </c>
      <c r="Q29" s="188">
        <v>266</v>
      </c>
      <c r="R29" s="188">
        <v>503</v>
      </c>
      <c r="S29" s="188">
        <v>301</v>
      </c>
      <c r="T29" s="188">
        <v>3</v>
      </c>
      <c r="U29" s="188">
        <v>88</v>
      </c>
      <c r="V29" s="188">
        <v>91</v>
      </c>
      <c r="W29" s="189" t="s">
        <v>125</v>
      </c>
      <c r="X29" s="189" t="s">
        <v>125</v>
      </c>
      <c r="Y29" s="189" t="s">
        <v>125</v>
      </c>
      <c r="Z29" s="188">
        <v>6589</v>
      </c>
      <c r="AA29" s="188">
        <v>6589</v>
      </c>
      <c r="AB29" s="188">
        <v>0</v>
      </c>
      <c r="AC29" s="188">
        <v>1416491</v>
      </c>
      <c r="AD29" s="188">
        <v>35765</v>
      </c>
      <c r="AE29" s="190">
        <v>1452256</v>
      </c>
      <c r="AY29" s="192"/>
      <c r="AZ29" s="192"/>
    </row>
    <row r="30" spans="1:52" s="191" customFormat="1" ht="15" customHeight="1">
      <c r="A30" s="187" t="s">
        <v>146</v>
      </c>
      <c r="B30" s="188">
        <v>100</v>
      </c>
      <c r="C30" s="188">
        <v>1</v>
      </c>
      <c r="D30" s="188">
        <v>0</v>
      </c>
      <c r="E30" s="188">
        <v>983</v>
      </c>
      <c r="F30" s="188">
        <v>2</v>
      </c>
      <c r="G30" s="188">
        <v>2</v>
      </c>
      <c r="H30" s="188">
        <v>1083</v>
      </c>
      <c r="I30" s="188">
        <v>3</v>
      </c>
      <c r="J30" s="188">
        <v>2</v>
      </c>
      <c r="K30" s="188">
        <v>272</v>
      </c>
      <c r="L30" s="188">
        <v>1722</v>
      </c>
      <c r="M30" s="188">
        <v>1994</v>
      </c>
      <c r="N30" s="188">
        <v>1</v>
      </c>
      <c r="O30" s="188">
        <v>1</v>
      </c>
      <c r="P30" s="188">
        <v>3</v>
      </c>
      <c r="Q30" s="188">
        <v>2</v>
      </c>
      <c r="R30" s="188">
        <v>4</v>
      </c>
      <c r="S30" s="188">
        <v>3</v>
      </c>
      <c r="T30" s="188">
        <v>0</v>
      </c>
      <c r="U30" s="188">
        <v>2</v>
      </c>
      <c r="V30" s="188">
        <v>2</v>
      </c>
      <c r="W30" s="189" t="s">
        <v>125</v>
      </c>
      <c r="X30" s="189" t="s">
        <v>125</v>
      </c>
      <c r="Y30" s="189" t="s">
        <v>125</v>
      </c>
      <c r="Z30" s="188">
        <v>1137</v>
      </c>
      <c r="AA30" s="188">
        <v>1137</v>
      </c>
      <c r="AB30" s="188">
        <v>0</v>
      </c>
      <c r="AC30" s="188">
        <v>269281</v>
      </c>
      <c r="AD30" s="188">
        <v>616</v>
      </c>
      <c r="AE30" s="190">
        <v>269897</v>
      </c>
      <c r="AY30" s="192"/>
      <c r="AZ30" s="192"/>
    </row>
    <row r="31" spans="1:52" s="191" customFormat="1" ht="15" customHeight="1">
      <c r="A31" s="187" t="s">
        <v>147</v>
      </c>
      <c r="B31" s="188">
        <v>573</v>
      </c>
      <c r="C31" s="188">
        <v>4</v>
      </c>
      <c r="D31" s="188">
        <v>0</v>
      </c>
      <c r="E31" s="188">
        <v>6114</v>
      </c>
      <c r="F31" s="188">
        <v>40</v>
      </c>
      <c r="G31" s="188">
        <v>9</v>
      </c>
      <c r="H31" s="188">
        <v>6687</v>
      </c>
      <c r="I31" s="188">
        <v>44</v>
      </c>
      <c r="J31" s="188">
        <v>9</v>
      </c>
      <c r="K31" s="188">
        <v>1462</v>
      </c>
      <c r="L31" s="188">
        <v>10945</v>
      </c>
      <c r="M31" s="188">
        <v>12407</v>
      </c>
      <c r="N31" s="188">
        <v>14</v>
      </c>
      <c r="O31" s="188">
        <v>4</v>
      </c>
      <c r="P31" s="188">
        <v>101</v>
      </c>
      <c r="Q31" s="188">
        <v>42</v>
      </c>
      <c r="R31" s="188">
        <v>115</v>
      </c>
      <c r="S31" s="188">
        <v>46</v>
      </c>
      <c r="T31" s="188">
        <v>0</v>
      </c>
      <c r="U31" s="188">
        <v>11</v>
      </c>
      <c r="V31" s="188">
        <v>11</v>
      </c>
      <c r="W31" s="189" t="s">
        <v>125</v>
      </c>
      <c r="X31" s="189" t="s">
        <v>125</v>
      </c>
      <c r="Y31" s="189" t="s">
        <v>125</v>
      </c>
      <c r="Z31" s="188">
        <v>7126</v>
      </c>
      <c r="AA31" s="188">
        <v>7126</v>
      </c>
      <c r="AB31" s="188">
        <v>0</v>
      </c>
      <c r="AC31" s="188">
        <v>1749370</v>
      </c>
      <c r="AD31" s="188">
        <v>6995</v>
      </c>
      <c r="AE31" s="190">
        <v>1756365</v>
      </c>
      <c r="AY31" s="192"/>
      <c r="AZ31" s="192"/>
    </row>
    <row r="32" spans="1:52" s="191" customFormat="1" ht="15" customHeight="1">
      <c r="A32" s="187" t="s">
        <v>148</v>
      </c>
      <c r="B32" s="188">
        <v>3857</v>
      </c>
      <c r="C32" s="188">
        <v>26</v>
      </c>
      <c r="D32" s="188">
        <v>0</v>
      </c>
      <c r="E32" s="188">
        <v>20538</v>
      </c>
      <c r="F32" s="188">
        <v>82</v>
      </c>
      <c r="G32" s="188">
        <v>12</v>
      </c>
      <c r="H32" s="188">
        <v>24395</v>
      </c>
      <c r="I32" s="188">
        <v>108</v>
      </c>
      <c r="J32" s="188">
        <v>12</v>
      </c>
      <c r="K32" s="188">
        <v>10283</v>
      </c>
      <c r="L32" s="188">
        <v>45693</v>
      </c>
      <c r="M32" s="188">
        <v>55976</v>
      </c>
      <c r="N32" s="188">
        <v>51</v>
      </c>
      <c r="O32" s="188">
        <v>27</v>
      </c>
      <c r="P32" s="188">
        <v>222</v>
      </c>
      <c r="Q32" s="188">
        <v>93</v>
      </c>
      <c r="R32" s="188">
        <v>273</v>
      </c>
      <c r="S32" s="188">
        <v>120</v>
      </c>
      <c r="T32" s="188">
        <v>0</v>
      </c>
      <c r="U32" s="188">
        <v>13</v>
      </c>
      <c r="V32" s="188">
        <v>13</v>
      </c>
      <c r="W32" s="189" t="s">
        <v>125</v>
      </c>
      <c r="X32" s="189" t="s">
        <v>125</v>
      </c>
      <c r="Y32" s="189" t="s">
        <v>125</v>
      </c>
      <c r="Z32" s="188">
        <v>25827</v>
      </c>
      <c r="AA32" s="188">
        <v>25827</v>
      </c>
      <c r="AB32" s="188">
        <v>0</v>
      </c>
      <c r="AC32" s="188">
        <v>7501058</v>
      </c>
      <c r="AD32" s="188">
        <v>13191</v>
      </c>
      <c r="AE32" s="190">
        <v>7514249</v>
      </c>
      <c r="AY32" s="192"/>
      <c r="AZ32" s="192"/>
    </row>
    <row r="33" spans="1:52" s="191" customFormat="1" ht="15" customHeight="1">
      <c r="A33" s="187" t="s">
        <v>149</v>
      </c>
      <c r="B33" s="188">
        <v>72</v>
      </c>
      <c r="C33" s="188">
        <v>2</v>
      </c>
      <c r="D33" s="188">
        <v>0</v>
      </c>
      <c r="E33" s="188">
        <v>447</v>
      </c>
      <c r="F33" s="188">
        <v>0</v>
      </c>
      <c r="G33" s="188">
        <v>0</v>
      </c>
      <c r="H33" s="188">
        <v>519</v>
      </c>
      <c r="I33" s="188">
        <v>2</v>
      </c>
      <c r="J33" s="188">
        <v>0</v>
      </c>
      <c r="K33" s="188">
        <v>174</v>
      </c>
      <c r="L33" s="188">
        <v>888</v>
      </c>
      <c r="M33" s="188">
        <v>1062</v>
      </c>
      <c r="N33" s="188">
        <v>3</v>
      </c>
      <c r="O33" s="188">
        <v>2</v>
      </c>
      <c r="P33" s="188">
        <v>0</v>
      </c>
      <c r="Q33" s="188">
        <v>0</v>
      </c>
      <c r="R33" s="188">
        <v>3</v>
      </c>
      <c r="S33" s="188">
        <v>2</v>
      </c>
      <c r="T33" s="188">
        <v>0</v>
      </c>
      <c r="U33" s="188">
        <v>0</v>
      </c>
      <c r="V33" s="188">
        <v>0</v>
      </c>
      <c r="W33" s="189" t="s">
        <v>125</v>
      </c>
      <c r="X33" s="189" t="s">
        <v>125</v>
      </c>
      <c r="Y33" s="189" t="s">
        <v>125</v>
      </c>
      <c r="Z33" s="188">
        <v>547</v>
      </c>
      <c r="AA33" s="188">
        <v>547</v>
      </c>
      <c r="AB33" s="188">
        <v>0</v>
      </c>
      <c r="AC33" s="188">
        <v>141767</v>
      </c>
      <c r="AD33" s="188">
        <v>121</v>
      </c>
      <c r="AE33" s="190">
        <v>141888</v>
      </c>
      <c r="AY33" s="192"/>
      <c r="AZ33" s="192"/>
    </row>
    <row r="34" spans="1:52" s="191" customFormat="1" ht="15" customHeight="1">
      <c r="A34" s="187" t="s">
        <v>150</v>
      </c>
      <c r="B34" s="188">
        <v>16</v>
      </c>
      <c r="C34" s="188">
        <v>0</v>
      </c>
      <c r="D34" s="188">
        <v>0</v>
      </c>
      <c r="E34" s="188">
        <v>434</v>
      </c>
      <c r="F34" s="188">
        <v>3</v>
      </c>
      <c r="G34" s="188">
        <v>0</v>
      </c>
      <c r="H34" s="188">
        <v>450</v>
      </c>
      <c r="I34" s="188">
        <v>3</v>
      </c>
      <c r="J34" s="188">
        <v>0</v>
      </c>
      <c r="K34" s="188">
        <v>44</v>
      </c>
      <c r="L34" s="188">
        <v>747</v>
      </c>
      <c r="M34" s="188">
        <v>791</v>
      </c>
      <c r="N34" s="188">
        <v>0</v>
      </c>
      <c r="O34" s="188">
        <v>0</v>
      </c>
      <c r="P34" s="188">
        <v>6</v>
      </c>
      <c r="Q34" s="188">
        <v>3</v>
      </c>
      <c r="R34" s="188">
        <v>6</v>
      </c>
      <c r="S34" s="188">
        <v>3</v>
      </c>
      <c r="T34" s="188">
        <v>0</v>
      </c>
      <c r="U34" s="188">
        <v>0</v>
      </c>
      <c r="V34" s="188">
        <v>0</v>
      </c>
      <c r="W34" s="189" t="s">
        <v>125</v>
      </c>
      <c r="X34" s="189" t="s">
        <v>125</v>
      </c>
      <c r="Y34" s="189" t="s">
        <v>125</v>
      </c>
      <c r="Z34" s="188">
        <v>481</v>
      </c>
      <c r="AA34" s="188">
        <v>481</v>
      </c>
      <c r="AB34" s="188">
        <v>0</v>
      </c>
      <c r="AC34" s="188">
        <v>108612</v>
      </c>
      <c r="AD34" s="188">
        <v>308</v>
      </c>
      <c r="AE34" s="190">
        <v>108920</v>
      </c>
      <c r="AY34" s="192"/>
      <c r="AZ34" s="192"/>
    </row>
    <row r="35" spans="1:52" s="191" customFormat="1" ht="15" customHeight="1">
      <c r="A35" s="187" t="s">
        <v>151</v>
      </c>
      <c r="B35" s="188">
        <v>2175</v>
      </c>
      <c r="C35" s="188">
        <v>17</v>
      </c>
      <c r="D35" s="188">
        <v>0</v>
      </c>
      <c r="E35" s="188">
        <v>19072</v>
      </c>
      <c r="F35" s="188">
        <v>191</v>
      </c>
      <c r="G35" s="188">
        <v>37</v>
      </c>
      <c r="H35" s="188">
        <v>21247</v>
      </c>
      <c r="I35" s="188">
        <v>208</v>
      </c>
      <c r="J35" s="188">
        <v>37</v>
      </c>
      <c r="K35" s="188">
        <v>5521</v>
      </c>
      <c r="L35" s="188">
        <v>40552</v>
      </c>
      <c r="M35" s="188">
        <v>46073</v>
      </c>
      <c r="N35" s="188">
        <v>42</v>
      </c>
      <c r="O35" s="188">
        <v>18</v>
      </c>
      <c r="P35" s="188">
        <v>516</v>
      </c>
      <c r="Q35" s="188">
        <v>218</v>
      </c>
      <c r="R35" s="188">
        <v>558</v>
      </c>
      <c r="S35" s="188">
        <v>236</v>
      </c>
      <c r="T35" s="188">
        <v>0</v>
      </c>
      <c r="U35" s="188">
        <v>49</v>
      </c>
      <c r="V35" s="188">
        <v>49</v>
      </c>
      <c r="W35" s="189" t="s">
        <v>125</v>
      </c>
      <c r="X35" s="189" t="s">
        <v>125</v>
      </c>
      <c r="Y35" s="189" t="s">
        <v>125</v>
      </c>
      <c r="Z35" s="188">
        <v>22747</v>
      </c>
      <c r="AA35" s="188">
        <v>22747</v>
      </c>
      <c r="AB35" s="188">
        <v>0</v>
      </c>
      <c r="AC35" s="188">
        <v>5996026</v>
      </c>
      <c r="AD35" s="188">
        <v>24136</v>
      </c>
      <c r="AE35" s="190">
        <v>6020162</v>
      </c>
      <c r="AY35" s="192"/>
      <c r="AZ35" s="192"/>
    </row>
    <row r="36" spans="1:52" s="191" customFormat="1" ht="15" customHeight="1">
      <c r="A36" s="187" t="s">
        <v>152</v>
      </c>
      <c r="B36" s="188">
        <v>292</v>
      </c>
      <c r="C36" s="188">
        <v>8</v>
      </c>
      <c r="D36" s="188">
        <v>0</v>
      </c>
      <c r="E36" s="188">
        <v>3156</v>
      </c>
      <c r="F36" s="188">
        <v>43</v>
      </c>
      <c r="G36" s="188">
        <v>8</v>
      </c>
      <c r="H36" s="188">
        <v>3448</v>
      </c>
      <c r="I36" s="188">
        <v>51</v>
      </c>
      <c r="J36" s="188">
        <v>8</v>
      </c>
      <c r="K36" s="188">
        <v>712</v>
      </c>
      <c r="L36" s="188">
        <v>6236</v>
      </c>
      <c r="M36" s="188">
        <v>6948</v>
      </c>
      <c r="N36" s="188">
        <v>18</v>
      </c>
      <c r="O36" s="188">
        <v>10</v>
      </c>
      <c r="P36" s="188">
        <v>118</v>
      </c>
      <c r="Q36" s="188">
        <v>45</v>
      </c>
      <c r="R36" s="188">
        <v>136</v>
      </c>
      <c r="S36" s="188">
        <v>55</v>
      </c>
      <c r="T36" s="188">
        <v>0</v>
      </c>
      <c r="U36" s="188">
        <v>11</v>
      </c>
      <c r="V36" s="188">
        <v>11</v>
      </c>
      <c r="W36" s="189" t="s">
        <v>125</v>
      </c>
      <c r="X36" s="189" t="s">
        <v>125</v>
      </c>
      <c r="Y36" s="189" t="s">
        <v>125</v>
      </c>
      <c r="Z36" s="188">
        <v>3700</v>
      </c>
      <c r="AA36" s="188">
        <v>3700</v>
      </c>
      <c r="AB36" s="188">
        <v>0</v>
      </c>
      <c r="AC36" s="188">
        <v>871069</v>
      </c>
      <c r="AD36" s="188">
        <v>4831</v>
      </c>
      <c r="AE36" s="190">
        <v>875900</v>
      </c>
      <c r="AY36" s="192"/>
      <c r="AZ36" s="192"/>
    </row>
    <row r="37" spans="1:52" s="191" customFormat="1" ht="15" customHeight="1">
      <c r="A37" s="187" t="s">
        <v>153</v>
      </c>
      <c r="B37" s="188">
        <v>254</v>
      </c>
      <c r="C37" s="188">
        <v>0</v>
      </c>
      <c r="D37" s="188">
        <v>0</v>
      </c>
      <c r="E37" s="188">
        <v>4103</v>
      </c>
      <c r="F37" s="188">
        <v>11</v>
      </c>
      <c r="G37" s="188">
        <v>4</v>
      </c>
      <c r="H37" s="188">
        <v>4357</v>
      </c>
      <c r="I37" s="188">
        <v>11</v>
      </c>
      <c r="J37" s="188">
        <v>4</v>
      </c>
      <c r="K37" s="188">
        <v>646</v>
      </c>
      <c r="L37" s="188">
        <v>6939</v>
      </c>
      <c r="M37" s="188">
        <v>7585</v>
      </c>
      <c r="N37" s="188">
        <v>0</v>
      </c>
      <c r="O37" s="188">
        <v>0</v>
      </c>
      <c r="P37" s="188">
        <v>29</v>
      </c>
      <c r="Q37" s="188">
        <v>13</v>
      </c>
      <c r="R37" s="188">
        <v>29</v>
      </c>
      <c r="S37" s="188">
        <v>13</v>
      </c>
      <c r="T37" s="188">
        <v>0</v>
      </c>
      <c r="U37" s="188">
        <v>5</v>
      </c>
      <c r="V37" s="188">
        <v>5</v>
      </c>
      <c r="W37" s="189" t="s">
        <v>125</v>
      </c>
      <c r="X37" s="189" t="s">
        <v>125</v>
      </c>
      <c r="Y37" s="189" t="s">
        <v>125</v>
      </c>
      <c r="Z37" s="188">
        <v>4595</v>
      </c>
      <c r="AA37" s="188">
        <v>4595</v>
      </c>
      <c r="AB37" s="188">
        <v>0</v>
      </c>
      <c r="AC37" s="188">
        <v>1048728</v>
      </c>
      <c r="AD37" s="188">
        <v>1673</v>
      </c>
      <c r="AE37" s="190">
        <v>1050401</v>
      </c>
      <c r="AY37" s="192"/>
      <c r="AZ37" s="192"/>
    </row>
    <row r="38" spans="1:52" s="191" customFormat="1" ht="15" customHeight="1">
      <c r="A38" s="187" t="s">
        <v>154</v>
      </c>
      <c r="B38" s="188">
        <v>10629</v>
      </c>
      <c r="C38" s="188">
        <v>219</v>
      </c>
      <c r="D38" s="188">
        <v>5</v>
      </c>
      <c r="E38" s="188">
        <v>109714</v>
      </c>
      <c r="F38" s="188">
        <v>2071</v>
      </c>
      <c r="G38" s="188">
        <v>1155</v>
      </c>
      <c r="H38" s="188">
        <v>120343</v>
      </c>
      <c r="I38" s="188">
        <v>2290</v>
      </c>
      <c r="J38" s="188">
        <v>1160</v>
      </c>
      <c r="K38" s="188">
        <v>27154</v>
      </c>
      <c r="L38" s="188">
        <v>216055</v>
      </c>
      <c r="M38" s="188">
        <v>243209</v>
      </c>
      <c r="N38" s="188">
        <v>487</v>
      </c>
      <c r="O38" s="188">
        <v>293</v>
      </c>
      <c r="P38" s="188">
        <v>4483</v>
      </c>
      <c r="Q38" s="188">
        <v>2550</v>
      </c>
      <c r="R38" s="188">
        <v>4970</v>
      </c>
      <c r="S38" s="188">
        <v>2843</v>
      </c>
      <c r="T38" s="188">
        <v>8</v>
      </c>
      <c r="U38" s="188">
        <v>1559</v>
      </c>
      <c r="V38" s="188">
        <v>1567</v>
      </c>
      <c r="W38" s="189" t="s">
        <v>125</v>
      </c>
      <c r="X38" s="189" t="s">
        <v>125</v>
      </c>
      <c r="Y38" s="189" t="s">
        <v>125</v>
      </c>
      <c r="Z38" s="188">
        <v>129743</v>
      </c>
      <c r="AA38" s="188">
        <v>129743</v>
      </c>
      <c r="AB38" s="188">
        <v>0</v>
      </c>
      <c r="AC38" s="188">
        <v>33690814</v>
      </c>
      <c r="AD38" s="188">
        <v>516531</v>
      </c>
      <c r="AE38" s="190">
        <v>34207345</v>
      </c>
      <c r="AY38" s="192"/>
      <c r="AZ38" s="192"/>
    </row>
    <row r="39" spans="1:52" s="191" customFormat="1" ht="15" customHeight="1">
      <c r="A39" s="187" t="s">
        <v>155</v>
      </c>
      <c r="B39" s="188">
        <v>696</v>
      </c>
      <c r="C39" s="188">
        <v>10</v>
      </c>
      <c r="D39" s="188">
        <v>0</v>
      </c>
      <c r="E39" s="188">
        <v>8570</v>
      </c>
      <c r="F39" s="188">
        <v>33</v>
      </c>
      <c r="G39" s="188">
        <v>30</v>
      </c>
      <c r="H39" s="188">
        <v>9266</v>
      </c>
      <c r="I39" s="188">
        <v>43</v>
      </c>
      <c r="J39" s="188">
        <v>30</v>
      </c>
      <c r="K39" s="188">
        <v>1779</v>
      </c>
      <c r="L39" s="188">
        <v>15590</v>
      </c>
      <c r="M39" s="188">
        <v>17369</v>
      </c>
      <c r="N39" s="188">
        <v>21</v>
      </c>
      <c r="O39" s="188">
        <v>14</v>
      </c>
      <c r="P39" s="188">
        <v>74</v>
      </c>
      <c r="Q39" s="188">
        <v>36</v>
      </c>
      <c r="R39" s="188">
        <v>95</v>
      </c>
      <c r="S39" s="188">
        <v>50</v>
      </c>
      <c r="T39" s="188">
        <v>0</v>
      </c>
      <c r="U39" s="188">
        <v>48</v>
      </c>
      <c r="V39" s="188">
        <v>48</v>
      </c>
      <c r="W39" s="189" t="s">
        <v>125</v>
      </c>
      <c r="X39" s="189" t="s">
        <v>125</v>
      </c>
      <c r="Y39" s="189" t="s">
        <v>125</v>
      </c>
      <c r="Z39" s="188">
        <v>9722</v>
      </c>
      <c r="AA39" s="188">
        <v>9722</v>
      </c>
      <c r="AB39" s="188">
        <v>0</v>
      </c>
      <c r="AC39" s="188">
        <v>2256617</v>
      </c>
      <c r="AD39" s="188">
        <v>11840</v>
      </c>
      <c r="AE39" s="190">
        <v>2268457</v>
      </c>
      <c r="AY39" s="192"/>
      <c r="AZ39" s="192"/>
    </row>
    <row r="40" spans="1:52" s="191" customFormat="1" ht="15" customHeight="1">
      <c r="A40" s="187" t="s">
        <v>156</v>
      </c>
      <c r="B40" s="188">
        <v>80</v>
      </c>
      <c r="C40" s="188">
        <v>0</v>
      </c>
      <c r="D40" s="188">
        <v>0</v>
      </c>
      <c r="E40" s="188">
        <v>1058</v>
      </c>
      <c r="F40" s="188">
        <v>1</v>
      </c>
      <c r="G40" s="188">
        <v>0</v>
      </c>
      <c r="H40" s="188">
        <v>1138</v>
      </c>
      <c r="I40" s="188">
        <v>1</v>
      </c>
      <c r="J40" s="188">
        <v>0</v>
      </c>
      <c r="K40" s="188">
        <v>196</v>
      </c>
      <c r="L40" s="188">
        <v>1878</v>
      </c>
      <c r="M40" s="188">
        <v>2074</v>
      </c>
      <c r="N40" s="188">
        <v>0</v>
      </c>
      <c r="O40" s="188">
        <v>0</v>
      </c>
      <c r="P40" s="188">
        <v>3</v>
      </c>
      <c r="Q40" s="188">
        <v>1</v>
      </c>
      <c r="R40" s="188">
        <v>3</v>
      </c>
      <c r="S40" s="188">
        <v>1</v>
      </c>
      <c r="T40" s="188">
        <v>0</v>
      </c>
      <c r="U40" s="188">
        <v>0</v>
      </c>
      <c r="V40" s="188">
        <v>0</v>
      </c>
      <c r="W40" s="189" t="s">
        <v>125</v>
      </c>
      <c r="X40" s="189" t="s">
        <v>125</v>
      </c>
      <c r="Y40" s="189" t="s">
        <v>125</v>
      </c>
      <c r="Z40" s="188">
        <v>1206</v>
      </c>
      <c r="AA40" s="188">
        <v>1206</v>
      </c>
      <c r="AB40" s="188">
        <v>0</v>
      </c>
      <c r="AC40" s="188">
        <v>281859</v>
      </c>
      <c r="AD40" s="188">
        <v>0</v>
      </c>
      <c r="AE40" s="190">
        <v>281859</v>
      </c>
      <c r="AY40" s="192"/>
      <c r="AZ40" s="192"/>
    </row>
    <row r="41" spans="1:52" s="191" customFormat="1" ht="15" customHeight="1">
      <c r="A41" s="187" t="s">
        <v>157</v>
      </c>
      <c r="B41" s="188">
        <v>15279</v>
      </c>
      <c r="C41" s="188">
        <v>113</v>
      </c>
      <c r="D41" s="188">
        <v>14</v>
      </c>
      <c r="E41" s="188">
        <v>113853</v>
      </c>
      <c r="F41" s="188">
        <v>840</v>
      </c>
      <c r="G41" s="188">
        <v>194</v>
      </c>
      <c r="H41" s="188">
        <v>129132</v>
      </c>
      <c r="I41" s="188">
        <v>953</v>
      </c>
      <c r="J41" s="188">
        <v>208</v>
      </c>
      <c r="K41" s="188">
        <v>41257</v>
      </c>
      <c r="L41" s="188">
        <v>243915</v>
      </c>
      <c r="M41" s="188">
        <v>285172</v>
      </c>
      <c r="N41" s="188">
        <v>297</v>
      </c>
      <c r="O41" s="188">
        <v>139</v>
      </c>
      <c r="P41" s="188">
        <v>2376</v>
      </c>
      <c r="Q41" s="188">
        <v>934</v>
      </c>
      <c r="R41" s="188">
        <v>2673</v>
      </c>
      <c r="S41" s="188">
        <v>1073</v>
      </c>
      <c r="T41" s="188">
        <v>17</v>
      </c>
      <c r="U41" s="188">
        <v>242</v>
      </c>
      <c r="V41" s="188">
        <v>259</v>
      </c>
      <c r="W41" s="189" t="s">
        <v>125</v>
      </c>
      <c r="X41" s="189" t="s">
        <v>125</v>
      </c>
      <c r="Y41" s="189" t="s">
        <v>125</v>
      </c>
      <c r="Z41" s="188">
        <v>137439</v>
      </c>
      <c r="AA41" s="188">
        <v>137439</v>
      </c>
      <c r="AB41" s="188">
        <v>0</v>
      </c>
      <c r="AC41" s="188">
        <v>38509411</v>
      </c>
      <c r="AD41" s="188">
        <v>129705</v>
      </c>
      <c r="AE41" s="190">
        <v>38639116</v>
      </c>
      <c r="AY41" s="192"/>
      <c r="AZ41" s="192"/>
    </row>
    <row r="42" spans="1:52" s="191" customFormat="1" ht="15" customHeight="1">
      <c r="A42" s="187" t="s">
        <v>158</v>
      </c>
      <c r="B42" s="188">
        <v>14232</v>
      </c>
      <c r="C42" s="188">
        <v>550</v>
      </c>
      <c r="D42" s="188">
        <v>8</v>
      </c>
      <c r="E42" s="188">
        <v>86016</v>
      </c>
      <c r="F42" s="188">
        <v>1076</v>
      </c>
      <c r="G42" s="188">
        <v>610</v>
      </c>
      <c r="H42" s="188">
        <v>100248</v>
      </c>
      <c r="I42" s="188">
        <v>1626</v>
      </c>
      <c r="J42" s="188">
        <v>618</v>
      </c>
      <c r="K42" s="188">
        <v>36474</v>
      </c>
      <c r="L42" s="188">
        <v>169525</v>
      </c>
      <c r="M42" s="188">
        <v>205999</v>
      </c>
      <c r="N42" s="188">
        <v>1242</v>
      </c>
      <c r="O42" s="188">
        <v>900</v>
      </c>
      <c r="P42" s="188">
        <v>2473</v>
      </c>
      <c r="Q42" s="188">
        <v>1524</v>
      </c>
      <c r="R42" s="188">
        <v>3715</v>
      </c>
      <c r="S42" s="188">
        <v>2424</v>
      </c>
      <c r="T42" s="188">
        <v>17</v>
      </c>
      <c r="U42" s="188">
        <v>793</v>
      </c>
      <c r="V42" s="188">
        <v>810</v>
      </c>
      <c r="W42" s="189" t="s">
        <v>125</v>
      </c>
      <c r="X42" s="189" t="s">
        <v>125</v>
      </c>
      <c r="Y42" s="189" t="s">
        <v>125</v>
      </c>
      <c r="Z42" s="188">
        <v>118291</v>
      </c>
      <c r="AA42" s="188">
        <v>118291</v>
      </c>
      <c r="AB42" s="188">
        <v>0</v>
      </c>
      <c r="AC42" s="188">
        <v>30214479</v>
      </c>
      <c r="AD42" s="188">
        <v>402810</v>
      </c>
      <c r="AE42" s="190">
        <v>30617289</v>
      </c>
      <c r="AY42" s="192"/>
      <c r="AZ42" s="192"/>
    </row>
    <row r="43" spans="1:52" s="191" customFormat="1" ht="15" customHeight="1">
      <c r="A43" s="187" t="s">
        <v>159</v>
      </c>
      <c r="B43" s="188">
        <v>254</v>
      </c>
      <c r="C43" s="188">
        <v>3</v>
      </c>
      <c r="D43" s="188">
        <v>0</v>
      </c>
      <c r="E43" s="188">
        <v>2207</v>
      </c>
      <c r="F43" s="188">
        <v>18</v>
      </c>
      <c r="G43" s="188">
        <v>1</v>
      </c>
      <c r="H43" s="188">
        <v>2461</v>
      </c>
      <c r="I43" s="188">
        <v>21</v>
      </c>
      <c r="J43" s="188">
        <v>1</v>
      </c>
      <c r="K43" s="188">
        <v>661</v>
      </c>
      <c r="L43" s="188">
        <v>4727</v>
      </c>
      <c r="M43" s="188">
        <v>5388</v>
      </c>
      <c r="N43" s="188">
        <v>5</v>
      </c>
      <c r="O43" s="188">
        <v>3</v>
      </c>
      <c r="P43" s="188">
        <v>49</v>
      </c>
      <c r="Q43" s="188">
        <v>20</v>
      </c>
      <c r="R43" s="188">
        <v>54</v>
      </c>
      <c r="S43" s="188">
        <v>23</v>
      </c>
      <c r="T43" s="188">
        <v>0</v>
      </c>
      <c r="U43" s="188">
        <v>1</v>
      </c>
      <c r="V43" s="188">
        <v>1</v>
      </c>
      <c r="W43" s="189" t="s">
        <v>125</v>
      </c>
      <c r="X43" s="189" t="s">
        <v>125</v>
      </c>
      <c r="Y43" s="189" t="s">
        <v>125</v>
      </c>
      <c r="Z43" s="188">
        <v>2640</v>
      </c>
      <c r="AA43" s="188">
        <v>2640</v>
      </c>
      <c r="AB43" s="188">
        <v>0</v>
      </c>
      <c r="AC43" s="188">
        <v>698044</v>
      </c>
      <c r="AD43" s="188">
        <v>1640</v>
      </c>
      <c r="AE43" s="190">
        <v>699684</v>
      </c>
      <c r="AY43" s="192"/>
      <c r="AZ43" s="192"/>
    </row>
    <row r="44" spans="1:52" s="191" customFormat="1" ht="15" customHeight="1">
      <c r="A44" s="187" t="s">
        <v>160</v>
      </c>
      <c r="B44" s="188">
        <v>24602</v>
      </c>
      <c r="C44" s="188">
        <v>166</v>
      </c>
      <c r="D44" s="188">
        <v>6</v>
      </c>
      <c r="E44" s="188">
        <v>154377</v>
      </c>
      <c r="F44" s="188">
        <v>930</v>
      </c>
      <c r="G44" s="188">
        <v>379</v>
      </c>
      <c r="H44" s="188">
        <v>178979</v>
      </c>
      <c r="I44" s="188">
        <v>1096</v>
      </c>
      <c r="J44" s="188">
        <v>385</v>
      </c>
      <c r="K44" s="188">
        <v>65157</v>
      </c>
      <c r="L44" s="188">
        <v>323673</v>
      </c>
      <c r="M44" s="188">
        <v>388830</v>
      </c>
      <c r="N44" s="188">
        <v>417</v>
      </c>
      <c r="O44" s="188">
        <v>188</v>
      </c>
      <c r="P44" s="188">
        <v>2441</v>
      </c>
      <c r="Q44" s="188">
        <v>1100</v>
      </c>
      <c r="R44" s="188">
        <v>2858</v>
      </c>
      <c r="S44" s="188">
        <v>1288</v>
      </c>
      <c r="T44" s="188">
        <v>6</v>
      </c>
      <c r="U44" s="188">
        <v>492</v>
      </c>
      <c r="V44" s="188">
        <v>498</v>
      </c>
      <c r="W44" s="189" t="s">
        <v>125</v>
      </c>
      <c r="X44" s="189" t="s">
        <v>125</v>
      </c>
      <c r="Y44" s="189" t="s">
        <v>125</v>
      </c>
      <c r="Z44" s="188">
        <v>189448</v>
      </c>
      <c r="AA44" s="188">
        <v>189448</v>
      </c>
      <c r="AB44" s="188">
        <v>0</v>
      </c>
      <c r="AC44" s="188">
        <v>53631604</v>
      </c>
      <c r="AD44" s="188">
        <v>191116</v>
      </c>
      <c r="AE44" s="190">
        <v>53822720</v>
      </c>
      <c r="AY44" s="192"/>
      <c r="AZ44" s="192"/>
    </row>
    <row r="45" spans="1:52" s="191" customFormat="1" ht="15" customHeight="1">
      <c r="A45" s="187" t="s">
        <v>161</v>
      </c>
      <c r="B45" s="188">
        <v>13193</v>
      </c>
      <c r="C45" s="188">
        <v>312</v>
      </c>
      <c r="D45" s="188">
        <v>8</v>
      </c>
      <c r="E45" s="188">
        <v>126465</v>
      </c>
      <c r="F45" s="188">
        <v>1776</v>
      </c>
      <c r="G45" s="188">
        <v>775</v>
      </c>
      <c r="H45" s="188">
        <v>139658</v>
      </c>
      <c r="I45" s="188">
        <v>2088</v>
      </c>
      <c r="J45" s="188">
        <v>783</v>
      </c>
      <c r="K45" s="188">
        <v>35846</v>
      </c>
      <c r="L45" s="188">
        <v>241523</v>
      </c>
      <c r="M45" s="188">
        <v>277369</v>
      </c>
      <c r="N45" s="188">
        <v>681</v>
      </c>
      <c r="O45" s="188">
        <v>415</v>
      </c>
      <c r="P45" s="188">
        <v>4194</v>
      </c>
      <c r="Q45" s="188">
        <v>2037</v>
      </c>
      <c r="R45" s="188">
        <v>4875</v>
      </c>
      <c r="S45" s="188">
        <v>2452</v>
      </c>
      <c r="T45" s="188">
        <v>19</v>
      </c>
      <c r="U45" s="188">
        <v>985</v>
      </c>
      <c r="V45" s="188">
        <v>1004</v>
      </c>
      <c r="W45" s="189" t="s">
        <v>125</v>
      </c>
      <c r="X45" s="189" t="s">
        <v>125</v>
      </c>
      <c r="Y45" s="189" t="s">
        <v>125</v>
      </c>
      <c r="Z45" s="188">
        <v>167384</v>
      </c>
      <c r="AA45" s="188">
        <v>167384</v>
      </c>
      <c r="AB45" s="188">
        <v>0</v>
      </c>
      <c r="AC45" s="188">
        <v>38145085</v>
      </c>
      <c r="AD45" s="188">
        <v>379645</v>
      </c>
      <c r="AE45" s="190">
        <v>38524730</v>
      </c>
      <c r="AY45" s="192"/>
      <c r="AZ45" s="192"/>
    </row>
    <row r="46" spans="1:52" s="191" customFormat="1" ht="15" customHeight="1">
      <c r="A46" s="187" t="s">
        <v>162</v>
      </c>
      <c r="B46" s="188">
        <v>2089</v>
      </c>
      <c r="C46" s="188">
        <v>129</v>
      </c>
      <c r="D46" s="188">
        <v>8</v>
      </c>
      <c r="E46" s="188">
        <v>31101</v>
      </c>
      <c r="F46" s="188">
        <v>814</v>
      </c>
      <c r="G46" s="188">
        <v>1185</v>
      </c>
      <c r="H46" s="188">
        <v>33190</v>
      </c>
      <c r="I46" s="188">
        <v>943</v>
      </c>
      <c r="J46" s="188">
        <v>1193</v>
      </c>
      <c r="K46" s="188">
        <v>4506</v>
      </c>
      <c r="L46" s="188">
        <v>44588</v>
      </c>
      <c r="M46" s="188">
        <v>49094</v>
      </c>
      <c r="N46" s="188">
        <v>22</v>
      </c>
      <c r="O46" s="188">
        <v>153</v>
      </c>
      <c r="P46" s="188">
        <v>1511</v>
      </c>
      <c r="Q46" s="188">
        <v>1020</v>
      </c>
      <c r="R46" s="188">
        <v>1533</v>
      </c>
      <c r="S46" s="188">
        <v>1173</v>
      </c>
      <c r="T46" s="188">
        <v>14</v>
      </c>
      <c r="U46" s="188">
        <v>1193</v>
      </c>
      <c r="V46" s="188">
        <v>1207</v>
      </c>
      <c r="W46" s="189" t="s">
        <v>125</v>
      </c>
      <c r="X46" s="189" t="s">
        <v>125</v>
      </c>
      <c r="Y46" s="189" t="s">
        <v>125</v>
      </c>
      <c r="Z46" s="188">
        <v>38531</v>
      </c>
      <c r="AA46" s="188">
        <v>38531</v>
      </c>
      <c r="AB46" s="188">
        <v>0</v>
      </c>
      <c r="AC46" s="188">
        <v>7466025</v>
      </c>
      <c r="AD46" s="188">
        <v>301776</v>
      </c>
      <c r="AE46" s="190">
        <v>7767801</v>
      </c>
      <c r="AY46" s="192"/>
      <c r="AZ46" s="192"/>
    </row>
    <row r="47" spans="1:52" s="191" customFormat="1" ht="15" customHeight="1">
      <c r="A47" s="187" t="s">
        <v>163</v>
      </c>
      <c r="B47" s="188">
        <v>7189</v>
      </c>
      <c r="C47" s="188">
        <v>65</v>
      </c>
      <c r="D47" s="188">
        <v>0</v>
      </c>
      <c r="E47" s="188">
        <v>43921</v>
      </c>
      <c r="F47" s="188">
        <v>471</v>
      </c>
      <c r="G47" s="188">
        <v>156</v>
      </c>
      <c r="H47" s="188">
        <v>51110</v>
      </c>
      <c r="I47" s="188">
        <v>536</v>
      </c>
      <c r="J47" s="188">
        <v>156</v>
      </c>
      <c r="K47" s="188">
        <v>17998</v>
      </c>
      <c r="L47" s="188">
        <v>95636</v>
      </c>
      <c r="M47" s="188">
        <v>113634</v>
      </c>
      <c r="N47" s="188">
        <v>175</v>
      </c>
      <c r="O47" s="188">
        <v>78</v>
      </c>
      <c r="P47" s="188">
        <v>1321</v>
      </c>
      <c r="Q47" s="188">
        <v>579</v>
      </c>
      <c r="R47" s="188">
        <v>1496</v>
      </c>
      <c r="S47" s="188">
        <v>657</v>
      </c>
      <c r="T47" s="188">
        <v>0</v>
      </c>
      <c r="U47" s="188">
        <v>223</v>
      </c>
      <c r="V47" s="188">
        <v>223</v>
      </c>
      <c r="W47" s="189" t="s">
        <v>125</v>
      </c>
      <c r="X47" s="189" t="s">
        <v>125</v>
      </c>
      <c r="Y47" s="189" t="s">
        <v>125</v>
      </c>
      <c r="Z47" s="188">
        <v>54561</v>
      </c>
      <c r="AA47" s="188">
        <v>54561</v>
      </c>
      <c r="AB47" s="188">
        <v>0</v>
      </c>
      <c r="AC47" s="188">
        <v>15517997</v>
      </c>
      <c r="AD47" s="188">
        <v>94641</v>
      </c>
      <c r="AE47" s="190">
        <v>15612638</v>
      </c>
      <c r="AY47" s="192"/>
      <c r="AZ47" s="192"/>
    </row>
    <row r="48" spans="1:52" s="191" customFormat="1" ht="15" customHeight="1">
      <c r="A48" s="187" t="s">
        <v>164</v>
      </c>
      <c r="B48" s="188">
        <v>868</v>
      </c>
      <c r="C48" s="188">
        <v>5</v>
      </c>
      <c r="D48" s="188">
        <v>0</v>
      </c>
      <c r="E48" s="188">
        <v>8979</v>
      </c>
      <c r="F48" s="188">
        <v>40</v>
      </c>
      <c r="G48" s="188">
        <v>6</v>
      </c>
      <c r="H48" s="188">
        <v>9847</v>
      </c>
      <c r="I48" s="188">
        <v>45</v>
      </c>
      <c r="J48" s="188">
        <v>6</v>
      </c>
      <c r="K48" s="188">
        <v>2151</v>
      </c>
      <c r="L48" s="188">
        <v>15599</v>
      </c>
      <c r="M48" s="188">
        <v>17750</v>
      </c>
      <c r="N48" s="188">
        <v>19</v>
      </c>
      <c r="O48" s="188">
        <v>6</v>
      </c>
      <c r="P48" s="188">
        <v>98</v>
      </c>
      <c r="Q48" s="188">
        <v>48</v>
      </c>
      <c r="R48" s="188">
        <v>117</v>
      </c>
      <c r="S48" s="188">
        <v>54</v>
      </c>
      <c r="T48" s="188">
        <v>0</v>
      </c>
      <c r="U48" s="188">
        <v>8</v>
      </c>
      <c r="V48" s="188">
        <v>8</v>
      </c>
      <c r="W48" s="189" t="s">
        <v>125</v>
      </c>
      <c r="X48" s="189" t="s">
        <v>125</v>
      </c>
      <c r="Y48" s="189" t="s">
        <v>125</v>
      </c>
      <c r="Z48" s="188">
        <v>10244</v>
      </c>
      <c r="AA48" s="188">
        <v>10244</v>
      </c>
      <c r="AB48" s="188">
        <v>0</v>
      </c>
      <c r="AC48" s="188">
        <v>2411013</v>
      </c>
      <c r="AD48" s="188">
        <v>4339</v>
      </c>
      <c r="AE48" s="190">
        <v>2415352</v>
      </c>
      <c r="AY48" s="192"/>
      <c r="AZ48" s="192"/>
    </row>
    <row r="49" spans="1:52" s="191" customFormat="1" ht="15" customHeight="1">
      <c r="A49" s="187" t="s">
        <v>165</v>
      </c>
      <c r="B49" s="188">
        <v>854</v>
      </c>
      <c r="C49" s="188">
        <v>31</v>
      </c>
      <c r="D49" s="188">
        <v>1</v>
      </c>
      <c r="E49" s="188">
        <v>13510</v>
      </c>
      <c r="F49" s="188">
        <v>418</v>
      </c>
      <c r="G49" s="188">
        <v>174</v>
      </c>
      <c r="H49" s="188">
        <v>14364</v>
      </c>
      <c r="I49" s="188">
        <v>449</v>
      </c>
      <c r="J49" s="188">
        <v>175</v>
      </c>
      <c r="K49" s="188">
        <v>2011</v>
      </c>
      <c r="L49" s="188">
        <v>25179</v>
      </c>
      <c r="M49" s="188">
        <v>27190</v>
      </c>
      <c r="N49" s="188">
        <v>82</v>
      </c>
      <c r="O49" s="188">
        <v>35</v>
      </c>
      <c r="P49" s="188">
        <v>1002</v>
      </c>
      <c r="Q49" s="188">
        <v>516</v>
      </c>
      <c r="R49" s="188">
        <v>1084</v>
      </c>
      <c r="S49" s="188">
        <v>551</v>
      </c>
      <c r="T49" s="188">
        <v>1</v>
      </c>
      <c r="U49" s="188">
        <v>234</v>
      </c>
      <c r="V49" s="188">
        <v>235</v>
      </c>
      <c r="W49" s="189" t="s">
        <v>125</v>
      </c>
      <c r="X49" s="189" t="s">
        <v>125</v>
      </c>
      <c r="Y49" s="189" t="s">
        <v>125</v>
      </c>
      <c r="Z49" s="188">
        <v>17472</v>
      </c>
      <c r="AA49" s="188">
        <v>17472</v>
      </c>
      <c r="AB49" s="188">
        <v>0</v>
      </c>
      <c r="AC49" s="188">
        <v>3733936</v>
      </c>
      <c r="AD49" s="188">
        <v>77785</v>
      </c>
      <c r="AE49" s="190">
        <v>3811721</v>
      </c>
      <c r="AY49" s="192"/>
      <c r="AZ49" s="192"/>
    </row>
    <row r="50" spans="1:52" s="191" customFormat="1" ht="15" customHeight="1">
      <c r="A50" s="187" t="s">
        <v>166</v>
      </c>
      <c r="B50" s="188">
        <v>2002</v>
      </c>
      <c r="C50" s="188">
        <v>16</v>
      </c>
      <c r="D50" s="188">
        <v>0</v>
      </c>
      <c r="E50" s="188">
        <v>15954</v>
      </c>
      <c r="F50" s="188">
        <v>120</v>
      </c>
      <c r="G50" s="188">
        <v>66</v>
      </c>
      <c r="H50" s="188">
        <v>17956</v>
      </c>
      <c r="I50" s="188">
        <v>136</v>
      </c>
      <c r="J50" s="188">
        <v>66</v>
      </c>
      <c r="K50" s="188">
        <v>5164</v>
      </c>
      <c r="L50" s="188">
        <v>31706</v>
      </c>
      <c r="M50" s="188">
        <v>36870</v>
      </c>
      <c r="N50" s="188">
        <v>38</v>
      </c>
      <c r="O50" s="188">
        <v>17</v>
      </c>
      <c r="P50" s="188">
        <v>307</v>
      </c>
      <c r="Q50" s="188">
        <v>126</v>
      </c>
      <c r="R50" s="188">
        <v>345</v>
      </c>
      <c r="S50" s="188">
        <v>143</v>
      </c>
      <c r="T50" s="188">
        <v>0</v>
      </c>
      <c r="U50" s="188">
        <v>83</v>
      </c>
      <c r="V50" s="188">
        <v>83</v>
      </c>
      <c r="W50" s="189" t="s">
        <v>125</v>
      </c>
      <c r="X50" s="189" t="s">
        <v>125</v>
      </c>
      <c r="Y50" s="189" t="s">
        <v>125</v>
      </c>
      <c r="Z50" s="188">
        <v>21339</v>
      </c>
      <c r="AA50" s="188">
        <v>21339</v>
      </c>
      <c r="AB50" s="188">
        <v>0</v>
      </c>
      <c r="AC50" s="188">
        <v>4950472</v>
      </c>
      <c r="AD50" s="188">
        <v>27015</v>
      </c>
      <c r="AE50" s="190">
        <v>4977487</v>
      </c>
      <c r="AY50" s="192"/>
      <c r="AZ50" s="192"/>
    </row>
    <row r="51" spans="1:52" s="191" customFormat="1" ht="15" customHeight="1">
      <c r="A51" s="187" t="s">
        <v>167</v>
      </c>
      <c r="B51" s="188">
        <v>4330</v>
      </c>
      <c r="C51" s="188">
        <v>105</v>
      </c>
      <c r="D51" s="188">
        <v>3</v>
      </c>
      <c r="E51" s="188">
        <v>46551</v>
      </c>
      <c r="F51" s="188">
        <v>851</v>
      </c>
      <c r="G51" s="188">
        <v>664</v>
      </c>
      <c r="H51" s="188">
        <v>50881</v>
      </c>
      <c r="I51" s="188">
        <v>956</v>
      </c>
      <c r="J51" s="188">
        <v>667</v>
      </c>
      <c r="K51" s="188">
        <v>10392</v>
      </c>
      <c r="L51" s="188">
        <v>88310</v>
      </c>
      <c r="M51" s="188">
        <v>98702</v>
      </c>
      <c r="N51" s="188">
        <v>229</v>
      </c>
      <c r="O51" s="188">
        <v>128</v>
      </c>
      <c r="P51" s="188">
        <v>1815</v>
      </c>
      <c r="Q51" s="188">
        <v>1120</v>
      </c>
      <c r="R51" s="188">
        <v>2044</v>
      </c>
      <c r="S51" s="188">
        <v>1248</v>
      </c>
      <c r="T51" s="188">
        <v>4</v>
      </c>
      <c r="U51" s="188">
        <v>961</v>
      </c>
      <c r="V51" s="188">
        <v>965</v>
      </c>
      <c r="W51" s="189" t="s">
        <v>125</v>
      </c>
      <c r="X51" s="189" t="s">
        <v>125</v>
      </c>
      <c r="Y51" s="189" t="s">
        <v>125</v>
      </c>
      <c r="Z51" s="188">
        <v>54885</v>
      </c>
      <c r="AA51" s="188">
        <v>54885</v>
      </c>
      <c r="AB51" s="188">
        <v>0</v>
      </c>
      <c r="AC51" s="188">
        <v>13703158</v>
      </c>
      <c r="AD51" s="188">
        <v>260593</v>
      </c>
      <c r="AE51" s="190">
        <v>13963751</v>
      </c>
      <c r="AY51" s="192"/>
      <c r="AZ51" s="192"/>
    </row>
    <row r="52" spans="1:52" s="191" customFormat="1" ht="15" customHeight="1">
      <c r="A52" s="187" t="s">
        <v>168</v>
      </c>
      <c r="B52" s="188">
        <v>1056</v>
      </c>
      <c r="C52" s="188">
        <v>3</v>
      </c>
      <c r="D52" s="188">
        <v>0</v>
      </c>
      <c r="E52" s="188">
        <v>13244</v>
      </c>
      <c r="F52" s="188">
        <v>47</v>
      </c>
      <c r="G52" s="188">
        <v>11</v>
      </c>
      <c r="H52" s="188">
        <v>14300</v>
      </c>
      <c r="I52" s="188">
        <v>50</v>
      </c>
      <c r="J52" s="188">
        <v>11</v>
      </c>
      <c r="K52" s="188">
        <v>2588</v>
      </c>
      <c r="L52" s="188">
        <v>23222</v>
      </c>
      <c r="M52" s="188">
        <v>25810</v>
      </c>
      <c r="N52" s="188">
        <v>7</v>
      </c>
      <c r="O52" s="188">
        <v>3</v>
      </c>
      <c r="P52" s="188">
        <v>102</v>
      </c>
      <c r="Q52" s="188">
        <v>55</v>
      </c>
      <c r="R52" s="188">
        <v>109</v>
      </c>
      <c r="S52" s="188">
        <v>58</v>
      </c>
      <c r="T52" s="188">
        <v>0</v>
      </c>
      <c r="U52" s="188">
        <v>14</v>
      </c>
      <c r="V52" s="188">
        <v>14</v>
      </c>
      <c r="W52" s="189" t="s">
        <v>125</v>
      </c>
      <c r="X52" s="189" t="s">
        <v>125</v>
      </c>
      <c r="Y52" s="189" t="s">
        <v>125</v>
      </c>
      <c r="Z52" s="188">
        <v>16666</v>
      </c>
      <c r="AA52" s="188">
        <v>16666</v>
      </c>
      <c r="AB52" s="188">
        <v>0</v>
      </c>
      <c r="AC52" s="188">
        <v>3468947</v>
      </c>
      <c r="AD52" s="188">
        <v>8991</v>
      </c>
      <c r="AE52" s="190">
        <v>3477938</v>
      </c>
      <c r="AY52" s="192"/>
      <c r="AZ52" s="192"/>
    </row>
    <row r="53" spans="1:52" s="191" customFormat="1" ht="15" customHeight="1">
      <c r="A53" s="187" t="s">
        <v>169</v>
      </c>
      <c r="B53" s="188">
        <v>1275</v>
      </c>
      <c r="C53" s="188">
        <v>2</v>
      </c>
      <c r="D53" s="188">
        <v>0</v>
      </c>
      <c r="E53" s="188">
        <v>11765</v>
      </c>
      <c r="F53" s="188">
        <v>27</v>
      </c>
      <c r="G53" s="188">
        <v>18</v>
      </c>
      <c r="H53" s="188">
        <v>13040</v>
      </c>
      <c r="I53" s="188">
        <v>29</v>
      </c>
      <c r="J53" s="188">
        <v>18</v>
      </c>
      <c r="K53" s="188">
        <v>3079</v>
      </c>
      <c r="L53" s="188">
        <v>21225</v>
      </c>
      <c r="M53" s="188">
        <v>24304</v>
      </c>
      <c r="N53" s="188">
        <v>2</v>
      </c>
      <c r="O53" s="188">
        <v>2</v>
      </c>
      <c r="P53" s="188">
        <v>68</v>
      </c>
      <c r="Q53" s="188">
        <v>30</v>
      </c>
      <c r="R53" s="188">
        <v>70</v>
      </c>
      <c r="S53" s="188">
        <v>32</v>
      </c>
      <c r="T53" s="188">
        <v>0</v>
      </c>
      <c r="U53" s="188">
        <v>19</v>
      </c>
      <c r="V53" s="188">
        <v>19</v>
      </c>
      <c r="W53" s="189" t="s">
        <v>125</v>
      </c>
      <c r="X53" s="189" t="s">
        <v>125</v>
      </c>
      <c r="Y53" s="189" t="s">
        <v>125</v>
      </c>
      <c r="Z53" s="188">
        <v>13951</v>
      </c>
      <c r="AA53" s="188">
        <v>13951</v>
      </c>
      <c r="AB53" s="188">
        <v>0</v>
      </c>
      <c r="AC53" s="188">
        <v>3230476</v>
      </c>
      <c r="AD53" s="188">
        <v>7134</v>
      </c>
      <c r="AE53" s="190">
        <v>3237610</v>
      </c>
      <c r="AY53" s="192"/>
      <c r="AZ53" s="192"/>
    </row>
    <row r="54" spans="1:52" s="191" customFormat="1" ht="15" customHeight="1">
      <c r="A54" s="187" t="s">
        <v>170</v>
      </c>
      <c r="B54" s="188">
        <v>8</v>
      </c>
      <c r="C54" s="188">
        <v>1</v>
      </c>
      <c r="D54" s="188">
        <v>0</v>
      </c>
      <c r="E54" s="188">
        <v>153</v>
      </c>
      <c r="F54" s="188">
        <v>0</v>
      </c>
      <c r="G54" s="188">
        <v>0</v>
      </c>
      <c r="H54" s="188">
        <v>161</v>
      </c>
      <c r="I54" s="188">
        <v>1</v>
      </c>
      <c r="J54" s="188">
        <v>0</v>
      </c>
      <c r="K54" s="188">
        <v>22</v>
      </c>
      <c r="L54" s="188">
        <v>251</v>
      </c>
      <c r="M54" s="188">
        <v>273</v>
      </c>
      <c r="N54" s="188">
        <v>1</v>
      </c>
      <c r="O54" s="188">
        <v>1</v>
      </c>
      <c r="P54" s="188">
        <v>0</v>
      </c>
      <c r="Q54" s="188">
        <v>0</v>
      </c>
      <c r="R54" s="188">
        <v>1</v>
      </c>
      <c r="S54" s="188">
        <v>1</v>
      </c>
      <c r="T54" s="188">
        <v>0</v>
      </c>
      <c r="U54" s="188">
        <v>0</v>
      </c>
      <c r="V54" s="188">
        <v>0</v>
      </c>
      <c r="W54" s="189" t="s">
        <v>125</v>
      </c>
      <c r="X54" s="189" t="s">
        <v>125</v>
      </c>
      <c r="Y54" s="189" t="s">
        <v>125</v>
      </c>
      <c r="Z54" s="188">
        <v>171</v>
      </c>
      <c r="AA54" s="188">
        <v>171</v>
      </c>
      <c r="AB54" s="188">
        <v>0</v>
      </c>
      <c r="AC54" s="188">
        <v>36437</v>
      </c>
      <c r="AD54" s="188">
        <v>53</v>
      </c>
      <c r="AE54" s="190">
        <v>36490</v>
      </c>
      <c r="AY54" s="192"/>
      <c r="AZ54" s="192"/>
    </row>
    <row r="55" spans="1:52" s="191" customFormat="1" ht="15" customHeight="1">
      <c r="A55" s="187" t="s">
        <v>171</v>
      </c>
      <c r="B55" s="188">
        <v>357</v>
      </c>
      <c r="C55" s="188">
        <v>2</v>
      </c>
      <c r="D55" s="188">
        <v>0</v>
      </c>
      <c r="E55" s="188">
        <v>2806</v>
      </c>
      <c r="F55" s="188">
        <v>6</v>
      </c>
      <c r="G55" s="188">
        <v>1</v>
      </c>
      <c r="H55" s="188">
        <v>3163</v>
      </c>
      <c r="I55" s="188">
        <v>8</v>
      </c>
      <c r="J55" s="188">
        <v>1</v>
      </c>
      <c r="K55" s="188">
        <v>970</v>
      </c>
      <c r="L55" s="188">
        <v>5655</v>
      </c>
      <c r="M55" s="188">
        <v>6625</v>
      </c>
      <c r="N55" s="188">
        <v>4</v>
      </c>
      <c r="O55" s="188">
        <v>2</v>
      </c>
      <c r="P55" s="188">
        <v>18</v>
      </c>
      <c r="Q55" s="188">
        <v>8</v>
      </c>
      <c r="R55" s="188">
        <v>22</v>
      </c>
      <c r="S55" s="188">
        <v>10</v>
      </c>
      <c r="T55" s="188">
        <v>0</v>
      </c>
      <c r="U55" s="188">
        <v>2</v>
      </c>
      <c r="V55" s="188">
        <v>2</v>
      </c>
      <c r="W55" s="189" t="s">
        <v>125</v>
      </c>
      <c r="X55" s="189" t="s">
        <v>125</v>
      </c>
      <c r="Y55" s="189" t="s">
        <v>125</v>
      </c>
      <c r="Z55" s="188">
        <v>3411</v>
      </c>
      <c r="AA55" s="188">
        <v>3411</v>
      </c>
      <c r="AB55" s="188">
        <v>0</v>
      </c>
      <c r="AC55" s="188">
        <v>893399</v>
      </c>
      <c r="AD55" s="188">
        <v>1355</v>
      </c>
      <c r="AE55" s="190">
        <v>894754</v>
      </c>
      <c r="AY55" s="192"/>
      <c r="AZ55" s="192"/>
    </row>
    <row r="56" spans="1:52" s="191" customFormat="1" ht="15" customHeight="1">
      <c r="A56" s="187" t="s">
        <v>172</v>
      </c>
      <c r="B56" s="188">
        <v>2508</v>
      </c>
      <c r="C56" s="188">
        <v>22</v>
      </c>
      <c r="D56" s="188">
        <v>0</v>
      </c>
      <c r="E56" s="188">
        <v>19629</v>
      </c>
      <c r="F56" s="188">
        <v>176</v>
      </c>
      <c r="G56" s="188">
        <v>67</v>
      </c>
      <c r="H56" s="188">
        <v>22137</v>
      </c>
      <c r="I56" s="188">
        <v>198</v>
      </c>
      <c r="J56" s="188">
        <v>67</v>
      </c>
      <c r="K56" s="188">
        <v>5911</v>
      </c>
      <c r="L56" s="188">
        <v>35393</v>
      </c>
      <c r="M56" s="188">
        <v>41304</v>
      </c>
      <c r="N56" s="188">
        <v>51</v>
      </c>
      <c r="O56" s="188">
        <v>25</v>
      </c>
      <c r="P56" s="188">
        <v>397</v>
      </c>
      <c r="Q56" s="188">
        <v>198</v>
      </c>
      <c r="R56" s="188">
        <v>448</v>
      </c>
      <c r="S56" s="188">
        <v>223</v>
      </c>
      <c r="T56" s="188">
        <v>0</v>
      </c>
      <c r="U56" s="188">
        <v>91</v>
      </c>
      <c r="V56" s="188">
        <v>91</v>
      </c>
      <c r="W56" s="189" t="s">
        <v>125</v>
      </c>
      <c r="X56" s="189" t="s">
        <v>125</v>
      </c>
      <c r="Y56" s="189" t="s">
        <v>125</v>
      </c>
      <c r="Z56" s="188">
        <v>23694</v>
      </c>
      <c r="AA56" s="188">
        <v>23694</v>
      </c>
      <c r="AB56" s="188">
        <v>0</v>
      </c>
      <c r="AC56" s="188">
        <v>5946585</v>
      </c>
      <c r="AD56" s="188">
        <v>39389</v>
      </c>
      <c r="AE56" s="190">
        <v>5985974</v>
      </c>
      <c r="AY56" s="192"/>
      <c r="AZ56" s="192"/>
    </row>
    <row r="57" spans="1:52" s="191" customFormat="1" ht="15" customHeight="1">
      <c r="A57" s="187" t="s">
        <v>173</v>
      </c>
      <c r="B57" s="188">
        <v>1437</v>
      </c>
      <c r="C57" s="188">
        <v>42</v>
      </c>
      <c r="D57" s="188">
        <v>3</v>
      </c>
      <c r="E57" s="188">
        <v>17059</v>
      </c>
      <c r="F57" s="188">
        <v>228</v>
      </c>
      <c r="G57" s="188">
        <v>61</v>
      </c>
      <c r="H57" s="188">
        <v>18496</v>
      </c>
      <c r="I57" s="188">
        <v>270</v>
      </c>
      <c r="J57" s="188">
        <v>64</v>
      </c>
      <c r="K57" s="188">
        <v>3411</v>
      </c>
      <c r="L57" s="188">
        <v>28835</v>
      </c>
      <c r="M57" s="188">
        <v>32246</v>
      </c>
      <c r="N57" s="188">
        <v>108</v>
      </c>
      <c r="O57" s="188">
        <v>49</v>
      </c>
      <c r="P57" s="188">
        <v>528</v>
      </c>
      <c r="Q57" s="188">
        <v>246</v>
      </c>
      <c r="R57" s="188">
        <v>636</v>
      </c>
      <c r="S57" s="188">
        <v>295</v>
      </c>
      <c r="T57" s="188">
        <v>4</v>
      </c>
      <c r="U57" s="188">
        <v>75</v>
      </c>
      <c r="V57" s="188">
        <v>79</v>
      </c>
      <c r="W57" s="189" t="s">
        <v>125</v>
      </c>
      <c r="X57" s="189" t="s">
        <v>125</v>
      </c>
      <c r="Y57" s="189" t="s">
        <v>125</v>
      </c>
      <c r="Z57" s="188">
        <v>21496</v>
      </c>
      <c r="AA57" s="188">
        <v>21496</v>
      </c>
      <c r="AB57" s="188">
        <v>0</v>
      </c>
      <c r="AC57" s="188">
        <v>4403444</v>
      </c>
      <c r="AD57" s="188">
        <v>36541</v>
      </c>
      <c r="AE57" s="190">
        <v>4439985</v>
      </c>
      <c r="AY57" s="192"/>
      <c r="AZ57" s="192"/>
    </row>
    <row r="58" spans="1:52" s="191" customFormat="1" ht="15" customHeight="1">
      <c r="A58" s="187" t="s">
        <v>174</v>
      </c>
      <c r="B58" s="188">
        <v>5524</v>
      </c>
      <c r="C58" s="188">
        <v>29</v>
      </c>
      <c r="D58" s="188">
        <v>0</v>
      </c>
      <c r="E58" s="188">
        <v>36213</v>
      </c>
      <c r="F58" s="188">
        <v>175</v>
      </c>
      <c r="G58" s="188">
        <v>33</v>
      </c>
      <c r="H58" s="188">
        <v>41737</v>
      </c>
      <c r="I58" s="188">
        <v>204</v>
      </c>
      <c r="J58" s="188">
        <v>33</v>
      </c>
      <c r="K58" s="188">
        <v>14191</v>
      </c>
      <c r="L58" s="188">
        <v>72781</v>
      </c>
      <c r="M58" s="188">
        <v>86972</v>
      </c>
      <c r="N58" s="188">
        <v>80</v>
      </c>
      <c r="O58" s="188">
        <v>34</v>
      </c>
      <c r="P58" s="188">
        <v>504</v>
      </c>
      <c r="Q58" s="188">
        <v>205</v>
      </c>
      <c r="R58" s="188">
        <v>584</v>
      </c>
      <c r="S58" s="188">
        <v>239</v>
      </c>
      <c r="T58" s="188">
        <v>0</v>
      </c>
      <c r="U58" s="188">
        <v>41</v>
      </c>
      <c r="V58" s="188">
        <v>41</v>
      </c>
      <c r="W58" s="189" t="s">
        <v>125</v>
      </c>
      <c r="X58" s="189" t="s">
        <v>125</v>
      </c>
      <c r="Y58" s="189" t="s">
        <v>125</v>
      </c>
      <c r="Z58" s="188">
        <v>43921</v>
      </c>
      <c r="AA58" s="188">
        <v>43921</v>
      </c>
      <c r="AB58" s="188">
        <v>0</v>
      </c>
      <c r="AC58" s="188">
        <v>11834785</v>
      </c>
      <c r="AD58" s="188">
        <v>26406</v>
      </c>
      <c r="AE58" s="190">
        <v>11861191</v>
      </c>
      <c r="AY58" s="192"/>
      <c r="AZ58" s="192"/>
    </row>
    <row r="59" spans="1:52" s="191" customFormat="1" ht="15" customHeight="1">
      <c r="A59" s="187" t="s">
        <v>175</v>
      </c>
      <c r="B59" s="188">
        <v>652</v>
      </c>
      <c r="C59" s="188">
        <v>16</v>
      </c>
      <c r="D59" s="188">
        <v>0</v>
      </c>
      <c r="E59" s="188">
        <v>4944</v>
      </c>
      <c r="F59" s="188">
        <v>55</v>
      </c>
      <c r="G59" s="188">
        <v>13</v>
      </c>
      <c r="H59" s="188">
        <v>5596</v>
      </c>
      <c r="I59" s="188">
        <v>71</v>
      </c>
      <c r="J59" s="188">
        <v>13</v>
      </c>
      <c r="K59" s="188">
        <v>1826</v>
      </c>
      <c r="L59" s="188">
        <v>10906</v>
      </c>
      <c r="M59" s="188">
        <v>12732</v>
      </c>
      <c r="N59" s="188">
        <v>43</v>
      </c>
      <c r="O59" s="188">
        <v>17</v>
      </c>
      <c r="P59" s="188">
        <v>158</v>
      </c>
      <c r="Q59" s="188">
        <v>67</v>
      </c>
      <c r="R59" s="188">
        <v>201</v>
      </c>
      <c r="S59" s="188">
        <v>84</v>
      </c>
      <c r="T59" s="188">
        <v>0</v>
      </c>
      <c r="U59" s="188">
        <v>16</v>
      </c>
      <c r="V59" s="188">
        <v>16</v>
      </c>
      <c r="W59" s="189" t="s">
        <v>125</v>
      </c>
      <c r="X59" s="189" t="s">
        <v>125</v>
      </c>
      <c r="Y59" s="189" t="s">
        <v>125</v>
      </c>
      <c r="Z59" s="188">
        <v>5919</v>
      </c>
      <c r="AA59" s="188">
        <v>5919</v>
      </c>
      <c r="AB59" s="188">
        <v>0</v>
      </c>
      <c r="AC59" s="188">
        <v>1716197</v>
      </c>
      <c r="AD59" s="188">
        <v>10157</v>
      </c>
      <c r="AE59" s="190">
        <v>1726354</v>
      </c>
      <c r="AY59" s="192"/>
      <c r="AZ59" s="192"/>
    </row>
    <row r="60" spans="1:52" s="191" customFormat="1" ht="15" customHeight="1">
      <c r="A60" s="187" t="s">
        <v>176</v>
      </c>
      <c r="B60" s="188">
        <v>531</v>
      </c>
      <c r="C60" s="188">
        <v>1</v>
      </c>
      <c r="D60" s="188">
        <v>0</v>
      </c>
      <c r="E60" s="188">
        <v>3994</v>
      </c>
      <c r="F60" s="188">
        <v>31</v>
      </c>
      <c r="G60" s="188">
        <v>2</v>
      </c>
      <c r="H60" s="188">
        <v>4525</v>
      </c>
      <c r="I60" s="188">
        <v>32</v>
      </c>
      <c r="J60" s="188">
        <v>2</v>
      </c>
      <c r="K60" s="188">
        <v>1401</v>
      </c>
      <c r="L60" s="188">
        <v>8402</v>
      </c>
      <c r="M60" s="188">
        <v>9803</v>
      </c>
      <c r="N60" s="188">
        <v>3</v>
      </c>
      <c r="O60" s="188">
        <v>1</v>
      </c>
      <c r="P60" s="188">
        <v>106</v>
      </c>
      <c r="Q60" s="188">
        <v>47</v>
      </c>
      <c r="R60" s="188">
        <v>109</v>
      </c>
      <c r="S60" s="188">
        <v>48</v>
      </c>
      <c r="T60" s="188">
        <v>0</v>
      </c>
      <c r="U60" s="188">
        <v>2</v>
      </c>
      <c r="V60" s="188">
        <v>2</v>
      </c>
      <c r="W60" s="189" t="s">
        <v>125</v>
      </c>
      <c r="X60" s="189" t="s">
        <v>125</v>
      </c>
      <c r="Y60" s="189" t="s">
        <v>125</v>
      </c>
      <c r="Z60" s="188">
        <v>4855</v>
      </c>
      <c r="AA60" s="188">
        <v>4855</v>
      </c>
      <c r="AB60" s="188">
        <v>0</v>
      </c>
      <c r="AC60" s="188">
        <v>1269510</v>
      </c>
      <c r="AD60" s="188">
        <v>6121</v>
      </c>
      <c r="AE60" s="190">
        <v>1275631</v>
      </c>
      <c r="AY60" s="192"/>
      <c r="AZ60" s="192"/>
    </row>
    <row r="61" spans="1:52" s="191" customFormat="1" ht="15" customHeight="1">
      <c r="A61" s="187" t="s">
        <v>177</v>
      </c>
      <c r="B61" s="188">
        <v>60</v>
      </c>
      <c r="C61" s="188">
        <v>0</v>
      </c>
      <c r="D61" s="188">
        <v>0</v>
      </c>
      <c r="E61" s="188">
        <v>936</v>
      </c>
      <c r="F61" s="188">
        <v>0</v>
      </c>
      <c r="G61" s="188">
        <v>0</v>
      </c>
      <c r="H61" s="188">
        <v>996</v>
      </c>
      <c r="I61" s="188">
        <v>0</v>
      </c>
      <c r="J61" s="188">
        <v>0</v>
      </c>
      <c r="K61" s="188">
        <v>158</v>
      </c>
      <c r="L61" s="188">
        <v>1581</v>
      </c>
      <c r="M61" s="188">
        <v>1739</v>
      </c>
      <c r="N61" s="188">
        <v>0</v>
      </c>
      <c r="O61" s="188">
        <v>0</v>
      </c>
      <c r="P61" s="188">
        <v>0</v>
      </c>
      <c r="Q61" s="188">
        <v>0</v>
      </c>
      <c r="R61" s="188">
        <v>0</v>
      </c>
      <c r="S61" s="188">
        <v>0</v>
      </c>
      <c r="T61" s="188">
        <v>0</v>
      </c>
      <c r="U61" s="188">
        <v>0</v>
      </c>
      <c r="V61" s="188">
        <v>0</v>
      </c>
      <c r="W61" s="189" t="s">
        <v>125</v>
      </c>
      <c r="X61" s="189" t="s">
        <v>125</v>
      </c>
      <c r="Y61" s="189" t="s">
        <v>125</v>
      </c>
      <c r="Z61" s="188">
        <v>1072</v>
      </c>
      <c r="AA61" s="188">
        <v>1072</v>
      </c>
      <c r="AB61" s="188">
        <v>0</v>
      </c>
      <c r="AC61" s="188">
        <v>247600</v>
      </c>
      <c r="AD61" s="188">
        <v>0</v>
      </c>
      <c r="AE61" s="190">
        <v>247600</v>
      </c>
      <c r="AY61" s="192"/>
      <c r="AZ61" s="192"/>
    </row>
    <row r="62" spans="1:52" s="191" customFormat="1" ht="15" customHeight="1">
      <c r="A62" s="187" t="s">
        <v>178</v>
      </c>
      <c r="B62" s="188">
        <v>7452</v>
      </c>
      <c r="C62" s="188">
        <v>50</v>
      </c>
      <c r="D62" s="188">
        <v>1</v>
      </c>
      <c r="E62" s="188">
        <v>43355</v>
      </c>
      <c r="F62" s="188">
        <v>783</v>
      </c>
      <c r="G62" s="188">
        <v>208</v>
      </c>
      <c r="H62" s="188">
        <v>50807</v>
      </c>
      <c r="I62" s="188">
        <v>833</v>
      </c>
      <c r="J62" s="188">
        <v>209</v>
      </c>
      <c r="K62" s="188">
        <v>20288</v>
      </c>
      <c r="L62" s="188">
        <v>96635</v>
      </c>
      <c r="M62" s="188">
        <v>116923</v>
      </c>
      <c r="N62" s="188">
        <v>119</v>
      </c>
      <c r="O62" s="188">
        <v>52</v>
      </c>
      <c r="P62" s="188">
        <v>2146</v>
      </c>
      <c r="Q62" s="188">
        <v>865</v>
      </c>
      <c r="R62" s="188">
        <v>2265</v>
      </c>
      <c r="S62" s="188">
        <v>917</v>
      </c>
      <c r="T62" s="188">
        <v>1</v>
      </c>
      <c r="U62" s="188">
        <v>264</v>
      </c>
      <c r="V62" s="188">
        <v>265</v>
      </c>
      <c r="W62" s="189" t="s">
        <v>125</v>
      </c>
      <c r="X62" s="189" t="s">
        <v>125</v>
      </c>
      <c r="Y62" s="189" t="s">
        <v>125</v>
      </c>
      <c r="Z62" s="188">
        <v>60476</v>
      </c>
      <c r="AA62" s="188">
        <v>60476</v>
      </c>
      <c r="AB62" s="188">
        <v>0</v>
      </c>
      <c r="AC62" s="188">
        <v>16198715</v>
      </c>
      <c r="AD62" s="188">
        <v>135958</v>
      </c>
      <c r="AE62" s="190">
        <v>16334673</v>
      </c>
      <c r="AY62" s="192"/>
      <c r="AZ62" s="192"/>
    </row>
    <row r="63" spans="1:52" s="191" customFormat="1" ht="15" customHeight="1">
      <c r="A63" s="187" t="s">
        <v>179</v>
      </c>
      <c r="B63" s="188">
        <v>289</v>
      </c>
      <c r="C63" s="188">
        <v>2</v>
      </c>
      <c r="D63" s="188">
        <v>0</v>
      </c>
      <c r="E63" s="188">
        <v>2812</v>
      </c>
      <c r="F63" s="188">
        <v>4</v>
      </c>
      <c r="G63" s="188">
        <v>3</v>
      </c>
      <c r="H63" s="188">
        <v>3101</v>
      </c>
      <c r="I63" s="188">
        <v>6</v>
      </c>
      <c r="J63" s="188">
        <v>3</v>
      </c>
      <c r="K63" s="188">
        <v>722</v>
      </c>
      <c r="L63" s="188">
        <v>4640</v>
      </c>
      <c r="M63" s="188">
        <v>5362</v>
      </c>
      <c r="N63" s="188">
        <v>6</v>
      </c>
      <c r="O63" s="188">
        <v>2</v>
      </c>
      <c r="P63" s="188">
        <v>7</v>
      </c>
      <c r="Q63" s="188">
        <v>5</v>
      </c>
      <c r="R63" s="188">
        <v>13</v>
      </c>
      <c r="S63" s="188">
        <v>7</v>
      </c>
      <c r="T63" s="188">
        <v>0</v>
      </c>
      <c r="U63" s="188">
        <v>5</v>
      </c>
      <c r="V63" s="188">
        <v>5</v>
      </c>
      <c r="W63" s="189" t="s">
        <v>125</v>
      </c>
      <c r="X63" s="189" t="s">
        <v>125</v>
      </c>
      <c r="Y63" s="189" t="s">
        <v>125</v>
      </c>
      <c r="Z63" s="188">
        <v>3261</v>
      </c>
      <c r="AA63" s="188">
        <v>3261</v>
      </c>
      <c r="AB63" s="188">
        <v>0</v>
      </c>
      <c r="AC63" s="188">
        <v>719022</v>
      </c>
      <c r="AD63" s="188">
        <v>1611</v>
      </c>
      <c r="AE63" s="190">
        <v>720633</v>
      </c>
      <c r="AY63" s="192"/>
      <c r="AZ63" s="192"/>
    </row>
    <row r="64" spans="1:52" s="191" customFormat="1" ht="15" customHeight="1">
      <c r="A64" s="187" t="s">
        <v>180</v>
      </c>
      <c r="B64" s="188">
        <v>2831</v>
      </c>
      <c r="C64" s="188">
        <v>19</v>
      </c>
      <c r="D64" s="188">
        <v>0</v>
      </c>
      <c r="E64" s="188">
        <v>33895</v>
      </c>
      <c r="F64" s="188">
        <v>341</v>
      </c>
      <c r="G64" s="188">
        <v>192</v>
      </c>
      <c r="H64" s="188">
        <v>36726</v>
      </c>
      <c r="I64" s="188">
        <v>360</v>
      </c>
      <c r="J64" s="188">
        <v>192</v>
      </c>
      <c r="K64" s="188">
        <v>7365</v>
      </c>
      <c r="L64" s="188">
        <v>65352</v>
      </c>
      <c r="M64" s="188">
        <v>72717</v>
      </c>
      <c r="N64" s="188">
        <v>33</v>
      </c>
      <c r="O64" s="188">
        <v>24</v>
      </c>
      <c r="P64" s="188">
        <v>849</v>
      </c>
      <c r="Q64" s="188">
        <v>374</v>
      </c>
      <c r="R64" s="188">
        <v>882</v>
      </c>
      <c r="S64" s="188">
        <v>398</v>
      </c>
      <c r="T64" s="188">
        <v>0</v>
      </c>
      <c r="U64" s="188">
        <v>246</v>
      </c>
      <c r="V64" s="188">
        <v>246</v>
      </c>
      <c r="W64" s="189" t="s">
        <v>125</v>
      </c>
      <c r="X64" s="189" t="s">
        <v>125</v>
      </c>
      <c r="Y64" s="189" t="s">
        <v>125</v>
      </c>
      <c r="Z64" s="188">
        <v>43780</v>
      </c>
      <c r="AA64" s="188">
        <v>43780</v>
      </c>
      <c r="AB64" s="188">
        <v>0</v>
      </c>
      <c r="AC64" s="188">
        <v>10148269</v>
      </c>
      <c r="AD64" s="188">
        <v>127381</v>
      </c>
      <c r="AE64" s="190">
        <v>10275650</v>
      </c>
      <c r="AY64" s="192"/>
      <c r="AZ64" s="192"/>
    </row>
    <row r="65" spans="1:52" s="191" customFormat="1" ht="15" customHeight="1">
      <c r="A65" s="187" t="s">
        <v>181</v>
      </c>
      <c r="B65" s="188">
        <v>887</v>
      </c>
      <c r="C65" s="188">
        <v>42</v>
      </c>
      <c r="D65" s="188">
        <v>1</v>
      </c>
      <c r="E65" s="188">
        <v>9461</v>
      </c>
      <c r="F65" s="188">
        <v>159</v>
      </c>
      <c r="G65" s="188">
        <v>56</v>
      </c>
      <c r="H65" s="188">
        <v>10348</v>
      </c>
      <c r="I65" s="188">
        <v>201</v>
      </c>
      <c r="J65" s="188">
        <v>57</v>
      </c>
      <c r="K65" s="188">
        <v>2280</v>
      </c>
      <c r="L65" s="188">
        <v>17378</v>
      </c>
      <c r="M65" s="188">
        <v>19658</v>
      </c>
      <c r="N65" s="188">
        <v>102</v>
      </c>
      <c r="O65" s="188">
        <v>64</v>
      </c>
      <c r="P65" s="188">
        <v>403</v>
      </c>
      <c r="Q65" s="188">
        <v>217</v>
      </c>
      <c r="R65" s="188">
        <v>505</v>
      </c>
      <c r="S65" s="188">
        <v>281</v>
      </c>
      <c r="T65" s="188">
        <v>1</v>
      </c>
      <c r="U65" s="188">
        <v>76</v>
      </c>
      <c r="V65" s="188">
        <v>77</v>
      </c>
      <c r="W65" s="189" t="s">
        <v>125</v>
      </c>
      <c r="X65" s="189" t="s">
        <v>125</v>
      </c>
      <c r="Y65" s="189" t="s">
        <v>125</v>
      </c>
      <c r="Z65" s="188">
        <v>12408</v>
      </c>
      <c r="AA65" s="188">
        <v>12408</v>
      </c>
      <c r="AB65" s="188">
        <v>0</v>
      </c>
      <c r="AC65" s="188">
        <v>2739437</v>
      </c>
      <c r="AD65" s="188">
        <v>41581</v>
      </c>
      <c r="AE65" s="190">
        <v>2781018</v>
      </c>
      <c r="AY65" s="192"/>
      <c r="AZ65" s="192"/>
    </row>
    <row r="66" spans="1:52" s="191" customFormat="1" ht="15" customHeight="1" thickBot="1">
      <c r="A66" s="193" t="s">
        <v>182</v>
      </c>
      <c r="B66" s="194">
        <v>771</v>
      </c>
      <c r="C66" s="194">
        <v>6</v>
      </c>
      <c r="D66" s="194">
        <v>0</v>
      </c>
      <c r="E66" s="194">
        <v>5405</v>
      </c>
      <c r="F66" s="194">
        <v>27</v>
      </c>
      <c r="G66" s="194">
        <v>6</v>
      </c>
      <c r="H66" s="194">
        <v>6176</v>
      </c>
      <c r="I66" s="194">
        <v>33</v>
      </c>
      <c r="J66" s="194">
        <v>6</v>
      </c>
      <c r="K66" s="194">
        <v>2049</v>
      </c>
      <c r="L66" s="194">
        <v>11151</v>
      </c>
      <c r="M66" s="194">
        <v>13200</v>
      </c>
      <c r="N66" s="194">
        <v>14</v>
      </c>
      <c r="O66" s="194">
        <v>7</v>
      </c>
      <c r="P66" s="194">
        <v>86</v>
      </c>
      <c r="Q66" s="194">
        <v>37</v>
      </c>
      <c r="R66" s="194">
        <v>100</v>
      </c>
      <c r="S66" s="194">
        <v>44</v>
      </c>
      <c r="T66" s="194">
        <v>0</v>
      </c>
      <c r="U66" s="194">
        <v>6</v>
      </c>
      <c r="V66" s="194">
        <v>6</v>
      </c>
      <c r="W66" s="195" t="s">
        <v>125</v>
      </c>
      <c r="X66" s="195" t="s">
        <v>125</v>
      </c>
      <c r="Y66" s="195" t="s">
        <v>125</v>
      </c>
      <c r="Z66" s="194">
        <v>6606</v>
      </c>
      <c r="AA66" s="194">
        <v>6606</v>
      </c>
      <c r="AB66" s="194">
        <v>0</v>
      </c>
      <c r="AC66" s="194">
        <v>1815517</v>
      </c>
      <c r="AD66" s="194">
        <v>5305</v>
      </c>
      <c r="AE66" s="196">
        <v>1820822</v>
      </c>
      <c r="AG66" s="197" t="s">
        <v>63</v>
      </c>
      <c r="AY66" s="192"/>
      <c r="AZ66" s="192"/>
    </row>
    <row r="67" spans="1:52" s="191" customFormat="1" ht="15.75" customHeight="1" thickTop="1">
      <c r="A67" s="198" t="s">
        <v>183</v>
      </c>
      <c r="B67" s="199">
        <f>SUBTOTAL(109,Aug16Data[Cell 1])</f>
        <v>256196</v>
      </c>
      <c r="C67" s="199">
        <f>SUBTOTAL(109,Aug16Data[Cell 2])</f>
        <v>4885</v>
      </c>
      <c r="D67" s="199">
        <f>SUBTOTAL(109,Aug16Data[Cell 3])</f>
        <v>129</v>
      </c>
      <c r="E67" s="199">
        <f>SUBTOTAL(109,Aug16Data[Cell 4])</f>
        <v>1795627</v>
      </c>
      <c r="F67" s="199">
        <f>SUBTOTAL(109,Aug16Data[Cell 5])</f>
        <v>20989</v>
      </c>
      <c r="G67" s="199">
        <f>SUBTOTAL(109,Aug16Data[Cell 6])</f>
        <v>11182</v>
      </c>
      <c r="H67" s="199">
        <f>SUBTOTAL(109,Aug16Data[Cell 15])</f>
        <v>2051823</v>
      </c>
      <c r="I67" s="199">
        <f>SUBTOTAL(109,Aug16Data[Cell 16])</f>
        <v>25874</v>
      </c>
      <c r="J67" s="199">
        <f>SUBTOTAL(109,Aug16Data[Cell 17])</f>
        <v>11311</v>
      </c>
      <c r="K67" s="199">
        <f>SUBTOTAL(109,Aug16Data[Cell 7])</f>
        <v>654149</v>
      </c>
      <c r="L67" s="199">
        <f>SUBTOTAL(109,Aug16Data[Cell 8])</f>
        <v>3552675</v>
      </c>
      <c r="M67" s="199">
        <f>SUBTOTAL(109,Aug16Data[Cell 18])</f>
        <v>4206824</v>
      </c>
      <c r="N67" s="199">
        <f>SUBTOTAL(109,Aug16Data[Cell 9])</f>
        <v>10602</v>
      </c>
      <c r="O67" s="199">
        <f>SUBTOTAL(109,Aug16Data[Cell 10])</f>
        <v>6566</v>
      </c>
      <c r="P67" s="199">
        <f>SUBTOTAL(109,Aug16Data[Cell 11])</f>
        <v>50072</v>
      </c>
      <c r="Q67" s="199">
        <f>SUBTOTAL(109,Aug16Data[Cell 12])</f>
        <v>25567</v>
      </c>
      <c r="R67" s="199">
        <f>SUBTOTAL(109,Aug16Data[Cell 19])</f>
        <v>60674</v>
      </c>
      <c r="S67" s="199">
        <f>SUBTOTAL(109,Aug16Data[Cell 20])</f>
        <v>32133</v>
      </c>
      <c r="T67" s="199">
        <f>SUBTOTAL(109,Aug16Data[Cell 13])</f>
        <v>210</v>
      </c>
      <c r="U67" s="199">
        <f>SUBTOTAL(109,Aug16Data[Cell 14])</f>
        <v>14345</v>
      </c>
      <c r="V67" s="199">
        <f>SUBTOTAL(109,Aug16Data[Cell 21])</f>
        <v>14555</v>
      </c>
      <c r="W67" s="200"/>
      <c r="X67" s="200"/>
      <c r="Y67" s="200"/>
      <c r="Z67" s="199">
        <f>SUBTOTAL(109,Aug16Data[Cell 25])</f>
        <v>2264985</v>
      </c>
      <c r="AA67" s="199">
        <f>SUBTOTAL(109,Aug16Data[Cell 26])</f>
        <v>2264985</v>
      </c>
      <c r="AB67" s="199">
        <f>SUBTOTAL(109,Aug16Data[Cell 27])</f>
        <v>0</v>
      </c>
      <c r="AC67" s="199">
        <f>SUBTOTAL(109,Aug16Data[Cell 28])</f>
        <v>596286691</v>
      </c>
      <c r="AD67" s="199">
        <f>SUBTOTAL(109,Aug16Data[Cell 29])</f>
        <v>5647677</v>
      </c>
      <c r="AE67" s="199">
        <f>SUBTOTAL(109,Aug16Data[Cell 30])</f>
        <v>601934368</v>
      </c>
      <c r="AG67" s="201">
        <v>1221205094</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8"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187</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256054</v>
      </c>
      <c r="F12" s="54">
        <v>2</v>
      </c>
      <c r="G12" s="55">
        <v>4889</v>
      </c>
      <c r="H12" s="54">
        <v>3</v>
      </c>
      <c r="I12" s="55">
        <v>146</v>
      </c>
      <c r="J12" s="54">
        <v>4</v>
      </c>
      <c r="K12" s="55">
        <v>1780993</v>
      </c>
      <c r="L12" s="54">
        <v>5</v>
      </c>
      <c r="M12" s="55">
        <v>20893</v>
      </c>
      <c r="N12" s="54">
        <v>6</v>
      </c>
      <c r="O12" s="55">
        <v>11105</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654887</v>
      </c>
      <c r="F14" s="68"/>
      <c r="G14" s="69"/>
      <c r="H14" s="68"/>
      <c r="I14" s="69"/>
      <c r="J14" s="66"/>
      <c r="K14" s="67">
        <v>3536752</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10936</v>
      </c>
      <c r="F16" s="68"/>
      <c r="G16" s="69"/>
      <c r="H16" s="66"/>
      <c r="I16" s="67">
        <v>6572</v>
      </c>
      <c r="J16" s="66"/>
      <c r="K16" s="67">
        <v>49874</v>
      </c>
      <c r="L16" s="68"/>
      <c r="M16" s="69"/>
      <c r="N16" s="66"/>
      <c r="O16" s="67">
        <v>25389</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216</v>
      </c>
      <c r="J18" s="68"/>
      <c r="K18" s="69"/>
      <c r="L18" s="68"/>
      <c r="M18" s="69"/>
      <c r="N18" s="66"/>
      <c r="O18" s="67">
        <v>14248</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2037047</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25782</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11251</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4191639</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60810</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31961</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14464</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2240815</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2240815</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591730311</v>
      </c>
    </row>
    <row r="37" spans="1:26" ht="17.25" customHeight="1">
      <c r="A37" s="97" t="s">
        <v>59</v>
      </c>
      <c r="B37" s="98" t="s">
        <v>60</v>
      </c>
      <c r="C37" s="98"/>
      <c r="D37" s="99"/>
      <c r="E37" s="98"/>
      <c r="F37" s="98"/>
      <c r="G37" s="98"/>
      <c r="H37" s="98"/>
      <c r="I37" s="98"/>
      <c r="J37" s="103"/>
      <c r="K37" s="103"/>
      <c r="L37" s="103"/>
      <c r="M37" s="103"/>
      <c r="N37" s="124">
        <v>29</v>
      </c>
      <c r="O37" s="125">
        <v>5586518</v>
      </c>
    </row>
    <row r="38" spans="1:26" ht="17.25" customHeight="1">
      <c r="A38" s="97" t="s">
        <v>61</v>
      </c>
      <c r="B38" s="98" t="s">
        <v>62</v>
      </c>
      <c r="C38" s="98"/>
      <c r="D38" s="99"/>
      <c r="E38" s="98"/>
      <c r="F38" s="98"/>
      <c r="G38" s="98"/>
      <c r="H38" s="98"/>
      <c r="I38" s="98"/>
      <c r="J38" s="103"/>
      <c r="K38" s="103"/>
      <c r="L38" s="103"/>
      <c r="M38" s="103"/>
      <c r="N38" s="126">
        <v>30</v>
      </c>
      <c r="O38" s="127">
        <v>597316829</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209</v>
      </c>
      <c r="B41" s="221"/>
      <c r="C41" s="221"/>
      <c r="D41" s="221"/>
      <c r="E41" s="221"/>
      <c r="F41" s="221"/>
      <c r="G41" s="221"/>
      <c r="H41" s="221"/>
      <c r="I41" s="221"/>
      <c r="J41" s="221"/>
      <c r="K41" s="221"/>
      <c r="L41" s="221"/>
      <c r="M41" s="221"/>
      <c r="N41" s="221"/>
      <c r="O41" s="222"/>
      <c r="Q41" s="27"/>
    </row>
    <row r="42" spans="1:26">
      <c r="L42" s="133" t="s">
        <v>63</v>
      </c>
      <c r="M42" s="134"/>
      <c r="N42" s="135"/>
      <c r="O42" s="136">
        <v>1211861196</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188</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187</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6029</v>
      </c>
      <c r="C9" s="188">
        <v>224</v>
      </c>
      <c r="D9" s="188">
        <v>11</v>
      </c>
      <c r="E9" s="188">
        <v>51768</v>
      </c>
      <c r="F9" s="188">
        <v>1419</v>
      </c>
      <c r="G9" s="188">
        <v>673</v>
      </c>
      <c r="H9" s="188">
        <v>57797</v>
      </c>
      <c r="I9" s="188">
        <v>1643</v>
      </c>
      <c r="J9" s="188">
        <v>684</v>
      </c>
      <c r="K9" s="188">
        <v>13832</v>
      </c>
      <c r="L9" s="188">
        <v>94685</v>
      </c>
      <c r="M9" s="188">
        <v>108517</v>
      </c>
      <c r="N9" s="188">
        <v>531</v>
      </c>
      <c r="O9" s="188">
        <v>294</v>
      </c>
      <c r="P9" s="188">
        <v>3201</v>
      </c>
      <c r="Q9" s="188">
        <v>1835</v>
      </c>
      <c r="R9" s="188">
        <v>3732</v>
      </c>
      <c r="S9" s="188">
        <v>2129</v>
      </c>
      <c r="T9" s="188">
        <v>19</v>
      </c>
      <c r="U9" s="188">
        <v>898</v>
      </c>
      <c r="V9" s="188">
        <v>917</v>
      </c>
      <c r="W9" s="189" t="s">
        <v>125</v>
      </c>
      <c r="X9" s="189" t="s">
        <v>125</v>
      </c>
      <c r="Y9" s="189" t="s">
        <v>125</v>
      </c>
      <c r="Z9" s="188">
        <v>60124</v>
      </c>
      <c r="AA9" s="188">
        <v>60124</v>
      </c>
      <c r="AB9" s="188">
        <v>0</v>
      </c>
      <c r="AC9" s="188">
        <v>16068375</v>
      </c>
      <c r="AD9" s="188">
        <v>349754</v>
      </c>
      <c r="AE9" s="190">
        <v>16418129</v>
      </c>
    </row>
    <row r="10" spans="1:52" ht="15" customHeight="1">
      <c r="A10" s="187" t="s">
        <v>126</v>
      </c>
      <c r="B10" s="188">
        <v>0</v>
      </c>
      <c r="C10" s="188">
        <v>0</v>
      </c>
      <c r="D10" s="188">
        <v>0</v>
      </c>
      <c r="E10" s="188">
        <v>90</v>
      </c>
      <c r="F10" s="188">
        <v>0</v>
      </c>
      <c r="G10" s="188">
        <v>0</v>
      </c>
      <c r="H10" s="188">
        <v>90</v>
      </c>
      <c r="I10" s="188">
        <v>0</v>
      </c>
      <c r="J10" s="188">
        <v>0</v>
      </c>
      <c r="K10" s="188">
        <v>0</v>
      </c>
      <c r="L10" s="188">
        <v>147</v>
      </c>
      <c r="M10" s="188">
        <v>147</v>
      </c>
      <c r="N10" s="188">
        <v>0</v>
      </c>
      <c r="O10" s="188">
        <v>0</v>
      </c>
      <c r="P10" s="188">
        <v>0</v>
      </c>
      <c r="Q10" s="188">
        <v>0</v>
      </c>
      <c r="R10" s="188">
        <v>0</v>
      </c>
      <c r="S10" s="188">
        <v>0</v>
      </c>
      <c r="T10" s="188">
        <v>0</v>
      </c>
      <c r="U10" s="188">
        <v>0</v>
      </c>
      <c r="V10" s="188">
        <v>0</v>
      </c>
      <c r="W10" s="189" t="s">
        <v>125</v>
      </c>
      <c r="X10" s="189" t="s">
        <v>125</v>
      </c>
      <c r="Y10" s="189" t="s">
        <v>125</v>
      </c>
      <c r="Z10" s="188">
        <v>94</v>
      </c>
      <c r="AA10" s="188">
        <v>94</v>
      </c>
      <c r="AB10" s="188">
        <v>0</v>
      </c>
      <c r="AC10" s="188">
        <v>17447</v>
      </c>
      <c r="AD10" s="188">
        <v>0</v>
      </c>
      <c r="AE10" s="190">
        <v>17447</v>
      </c>
    </row>
    <row r="11" spans="1:52" ht="15" customHeight="1">
      <c r="A11" s="187" t="s">
        <v>127</v>
      </c>
      <c r="B11" s="188">
        <v>147</v>
      </c>
      <c r="C11" s="188">
        <v>0</v>
      </c>
      <c r="D11" s="188">
        <v>0</v>
      </c>
      <c r="E11" s="188">
        <v>1586</v>
      </c>
      <c r="F11" s="188">
        <v>1</v>
      </c>
      <c r="G11" s="188">
        <v>2</v>
      </c>
      <c r="H11" s="188">
        <v>1733</v>
      </c>
      <c r="I11" s="188">
        <v>1</v>
      </c>
      <c r="J11" s="188">
        <v>2</v>
      </c>
      <c r="K11" s="188">
        <v>385</v>
      </c>
      <c r="L11" s="188">
        <v>2895</v>
      </c>
      <c r="M11" s="188">
        <v>3280</v>
      </c>
      <c r="N11" s="188">
        <v>0</v>
      </c>
      <c r="O11" s="188">
        <v>0</v>
      </c>
      <c r="P11" s="188">
        <v>2</v>
      </c>
      <c r="Q11" s="188">
        <v>1</v>
      </c>
      <c r="R11" s="188">
        <v>2</v>
      </c>
      <c r="S11" s="188">
        <v>1</v>
      </c>
      <c r="T11" s="188">
        <v>0</v>
      </c>
      <c r="U11" s="188">
        <v>2</v>
      </c>
      <c r="V11" s="188">
        <v>2</v>
      </c>
      <c r="W11" s="189" t="s">
        <v>125</v>
      </c>
      <c r="X11" s="189" t="s">
        <v>125</v>
      </c>
      <c r="Y11" s="189" t="s">
        <v>125</v>
      </c>
      <c r="Z11" s="188">
        <v>1802</v>
      </c>
      <c r="AA11" s="188">
        <v>1802</v>
      </c>
      <c r="AB11" s="188">
        <v>0</v>
      </c>
      <c r="AC11" s="188">
        <v>436747</v>
      </c>
      <c r="AD11" s="188">
        <v>233</v>
      </c>
      <c r="AE11" s="190">
        <v>436980</v>
      </c>
    </row>
    <row r="12" spans="1:52" ht="15" customHeight="1">
      <c r="A12" s="187" t="s">
        <v>128</v>
      </c>
      <c r="B12" s="188">
        <v>1730</v>
      </c>
      <c r="C12" s="188">
        <v>9</v>
      </c>
      <c r="D12" s="188">
        <v>1</v>
      </c>
      <c r="E12" s="188">
        <v>15065</v>
      </c>
      <c r="F12" s="188">
        <v>41</v>
      </c>
      <c r="G12" s="188">
        <v>31</v>
      </c>
      <c r="H12" s="188">
        <v>16795</v>
      </c>
      <c r="I12" s="188">
        <v>50</v>
      </c>
      <c r="J12" s="188">
        <v>32</v>
      </c>
      <c r="K12" s="188">
        <v>4333</v>
      </c>
      <c r="L12" s="188">
        <v>27321</v>
      </c>
      <c r="M12" s="188">
        <v>31654</v>
      </c>
      <c r="N12" s="188">
        <v>17</v>
      </c>
      <c r="O12" s="188">
        <v>9</v>
      </c>
      <c r="P12" s="188">
        <v>125</v>
      </c>
      <c r="Q12" s="188">
        <v>43</v>
      </c>
      <c r="R12" s="188">
        <v>142</v>
      </c>
      <c r="S12" s="188">
        <v>52</v>
      </c>
      <c r="T12" s="188">
        <v>1</v>
      </c>
      <c r="U12" s="188">
        <v>37</v>
      </c>
      <c r="V12" s="188">
        <v>38</v>
      </c>
      <c r="W12" s="189" t="s">
        <v>125</v>
      </c>
      <c r="X12" s="189" t="s">
        <v>125</v>
      </c>
      <c r="Y12" s="189" t="s">
        <v>125</v>
      </c>
      <c r="Z12" s="188">
        <v>18009</v>
      </c>
      <c r="AA12" s="188">
        <v>18009</v>
      </c>
      <c r="AB12" s="188">
        <v>0</v>
      </c>
      <c r="AC12" s="188">
        <v>4350335</v>
      </c>
      <c r="AD12" s="188">
        <v>10600</v>
      </c>
      <c r="AE12" s="190">
        <v>4360935</v>
      </c>
    </row>
    <row r="13" spans="1:52" ht="15" customHeight="1">
      <c r="A13" s="187" t="s">
        <v>129</v>
      </c>
      <c r="B13" s="188">
        <v>195</v>
      </c>
      <c r="C13" s="188">
        <v>0</v>
      </c>
      <c r="D13" s="188">
        <v>0</v>
      </c>
      <c r="E13" s="188">
        <v>2612</v>
      </c>
      <c r="F13" s="188">
        <v>8</v>
      </c>
      <c r="G13" s="188">
        <v>4</v>
      </c>
      <c r="H13" s="188">
        <v>2807</v>
      </c>
      <c r="I13" s="188">
        <v>8</v>
      </c>
      <c r="J13" s="188">
        <v>4</v>
      </c>
      <c r="K13" s="188">
        <v>523</v>
      </c>
      <c r="L13" s="188">
        <v>4655</v>
      </c>
      <c r="M13" s="188">
        <v>5178</v>
      </c>
      <c r="N13" s="188">
        <v>0</v>
      </c>
      <c r="O13" s="188">
        <v>0</v>
      </c>
      <c r="P13" s="188">
        <v>14</v>
      </c>
      <c r="Q13" s="188">
        <v>11</v>
      </c>
      <c r="R13" s="188">
        <v>14</v>
      </c>
      <c r="S13" s="188">
        <v>11</v>
      </c>
      <c r="T13" s="188">
        <v>0</v>
      </c>
      <c r="U13" s="188">
        <v>6</v>
      </c>
      <c r="V13" s="188">
        <v>6</v>
      </c>
      <c r="W13" s="189" t="s">
        <v>125</v>
      </c>
      <c r="X13" s="189" t="s">
        <v>125</v>
      </c>
      <c r="Y13" s="189" t="s">
        <v>125</v>
      </c>
      <c r="Z13" s="188">
        <v>2974</v>
      </c>
      <c r="AA13" s="188">
        <v>2974</v>
      </c>
      <c r="AB13" s="188">
        <v>0</v>
      </c>
      <c r="AC13" s="188">
        <v>693460</v>
      </c>
      <c r="AD13" s="188">
        <v>2037</v>
      </c>
      <c r="AE13" s="190">
        <v>695497</v>
      </c>
    </row>
    <row r="14" spans="1:52" ht="15" customHeight="1">
      <c r="A14" s="187" t="s">
        <v>130</v>
      </c>
      <c r="B14" s="188">
        <v>69</v>
      </c>
      <c r="C14" s="188">
        <v>1</v>
      </c>
      <c r="D14" s="188">
        <v>0</v>
      </c>
      <c r="E14" s="188">
        <v>572</v>
      </c>
      <c r="F14" s="188">
        <v>2</v>
      </c>
      <c r="G14" s="188">
        <v>2</v>
      </c>
      <c r="H14" s="188">
        <v>641</v>
      </c>
      <c r="I14" s="188">
        <v>3</v>
      </c>
      <c r="J14" s="188">
        <v>2</v>
      </c>
      <c r="K14" s="188">
        <v>171</v>
      </c>
      <c r="L14" s="188">
        <v>1293</v>
      </c>
      <c r="M14" s="188">
        <v>1464</v>
      </c>
      <c r="N14" s="188">
        <v>2</v>
      </c>
      <c r="O14" s="188">
        <v>1</v>
      </c>
      <c r="P14" s="188">
        <v>5</v>
      </c>
      <c r="Q14" s="188">
        <v>3</v>
      </c>
      <c r="R14" s="188">
        <v>7</v>
      </c>
      <c r="S14" s="188">
        <v>4</v>
      </c>
      <c r="T14" s="188">
        <v>0</v>
      </c>
      <c r="U14" s="188">
        <v>2</v>
      </c>
      <c r="V14" s="188">
        <v>2</v>
      </c>
      <c r="W14" s="189" t="s">
        <v>125</v>
      </c>
      <c r="X14" s="189" t="s">
        <v>125</v>
      </c>
      <c r="Y14" s="189" t="s">
        <v>125</v>
      </c>
      <c r="Z14" s="188">
        <v>708</v>
      </c>
      <c r="AA14" s="188">
        <v>708</v>
      </c>
      <c r="AB14" s="188">
        <v>0</v>
      </c>
      <c r="AC14" s="188">
        <v>191997</v>
      </c>
      <c r="AD14" s="188">
        <v>592</v>
      </c>
      <c r="AE14" s="190">
        <v>192589</v>
      </c>
    </row>
    <row r="15" spans="1:52" ht="15" customHeight="1">
      <c r="A15" s="187" t="s">
        <v>131</v>
      </c>
      <c r="B15" s="188">
        <v>3974</v>
      </c>
      <c r="C15" s="188">
        <v>98</v>
      </c>
      <c r="D15" s="188">
        <v>1</v>
      </c>
      <c r="E15" s="188">
        <v>28748</v>
      </c>
      <c r="F15" s="188">
        <v>361</v>
      </c>
      <c r="G15" s="188">
        <v>144</v>
      </c>
      <c r="H15" s="188">
        <v>32722</v>
      </c>
      <c r="I15" s="188">
        <v>459</v>
      </c>
      <c r="J15" s="188">
        <v>145</v>
      </c>
      <c r="K15" s="188">
        <v>9168</v>
      </c>
      <c r="L15" s="188">
        <v>55410</v>
      </c>
      <c r="M15" s="188">
        <v>64578</v>
      </c>
      <c r="N15" s="188">
        <v>237</v>
      </c>
      <c r="O15" s="188">
        <v>137</v>
      </c>
      <c r="P15" s="188">
        <v>865</v>
      </c>
      <c r="Q15" s="188">
        <v>488</v>
      </c>
      <c r="R15" s="188">
        <v>1102</v>
      </c>
      <c r="S15" s="188">
        <v>625</v>
      </c>
      <c r="T15" s="188">
        <v>1</v>
      </c>
      <c r="U15" s="188">
        <v>190</v>
      </c>
      <c r="V15" s="188">
        <v>191</v>
      </c>
      <c r="W15" s="189" t="s">
        <v>125</v>
      </c>
      <c r="X15" s="189" t="s">
        <v>125</v>
      </c>
      <c r="Y15" s="189" t="s">
        <v>125</v>
      </c>
      <c r="Z15" s="188">
        <v>38676</v>
      </c>
      <c r="AA15" s="188">
        <v>38676</v>
      </c>
      <c r="AB15" s="188">
        <v>0</v>
      </c>
      <c r="AC15" s="188">
        <v>9382240</v>
      </c>
      <c r="AD15" s="188">
        <v>85132</v>
      </c>
      <c r="AE15" s="190">
        <v>9467372</v>
      </c>
    </row>
    <row r="16" spans="1:52" s="191" customFormat="1" ht="15" customHeight="1">
      <c r="A16" s="187" t="s">
        <v>132</v>
      </c>
      <c r="B16" s="188">
        <v>392</v>
      </c>
      <c r="C16" s="188">
        <v>0</v>
      </c>
      <c r="D16" s="188">
        <v>0</v>
      </c>
      <c r="E16" s="188">
        <v>2181</v>
      </c>
      <c r="F16" s="188">
        <v>1</v>
      </c>
      <c r="G16" s="188">
        <v>0</v>
      </c>
      <c r="H16" s="188">
        <v>2573</v>
      </c>
      <c r="I16" s="188">
        <v>1</v>
      </c>
      <c r="J16" s="188">
        <v>0</v>
      </c>
      <c r="K16" s="188">
        <v>1115</v>
      </c>
      <c r="L16" s="188">
        <v>4122</v>
      </c>
      <c r="M16" s="188">
        <v>5237</v>
      </c>
      <c r="N16" s="188">
        <v>0</v>
      </c>
      <c r="O16" s="188">
        <v>0</v>
      </c>
      <c r="P16" s="188">
        <v>2</v>
      </c>
      <c r="Q16" s="188">
        <v>1</v>
      </c>
      <c r="R16" s="188">
        <v>2</v>
      </c>
      <c r="S16" s="188">
        <v>1</v>
      </c>
      <c r="T16" s="188">
        <v>0</v>
      </c>
      <c r="U16" s="188">
        <v>0</v>
      </c>
      <c r="V16" s="188">
        <v>0</v>
      </c>
      <c r="W16" s="189" t="s">
        <v>125</v>
      </c>
      <c r="X16" s="189" t="s">
        <v>125</v>
      </c>
      <c r="Y16" s="189" t="s">
        <v>125</v>
      </c>
      <c r="Z16" s="188">
        <v>2677</v>
      </c>
      <c r="AA16" s="188">
        <v>2677</v>
      </c>
      <c r="AB16" s="188">
        <v>0</v>
      </c>
      <c r="AC16" s="188">
        <v>705271</v>
      </c>
      <c r="AD16" s="188">
        <v>0</v>
      </c>
      <c r="AE16" s="190">
        <v>705271</v>
      </c>
      <c r="AY16" s="192"/>
      <c r="AZ16" s="192"/>
    </row>
    <row r="17" spans="1:52" s="191" customFormat="1" ht="15" customHeight="1">
      <c r="A17" s="187" t="s">
        <v>133</v>
      </c>
      <c r="B17" s="188">
        <v>538</v>
      </c>
      <c r="C17" s="188">
        <v>2</v>
      </c>
      <c r="D17" s="188">
        <v>0</v>
      </c>
      <c r="E17" s="188">
        <v>6556</v>
      </c>
      <c r="F17" s="188">
        <v>32</v>
      </c>
      <c r="G17" s="188">
        <v>8</v>
      </c>
      <c r="H17" s="188">
        <v>7094</v>
      </c>
      <c r="I17" s="188">
        <v>34</v>
      </c>
      <c r="J17" s="188">
        <v>8</v>
      </c>
      <c r="K17" s="188">
        <v>1295</v>
      </c>
      <c r="L17" s="188">
        <v>11238</v>
      </c>
      <c r="M17" s="188">
        <v>12533</v>
      </c>
      <c r="N17" s="188">
        <v>4</v>
      </c>
      <c r="O17" s="188">
        <v>3</v>
      </c>
      <c r="P17" s="188">
        <v>87</v>
      </c>
      <c r="Q17" s="188">
        <v>38</v>
      </c>
      <c r="R17" s="188">
        <v>91</v>
      </c>
      <c r="S17" s="188">
        <v>41</v>
      </c>
      <c r="T17" s="188">
        <v>0</v>
      </c>
      <c r="U17" s="188">
        <v>9</v>
      </c>
      <c r="V17" s="188">
        <v>9</v>
      </c>
      <c r="W17" s="189" t="s">
        <v>125</v>
      </c>
      <c r="X17" s="189" t="s">
        <v>125</v>
      </c>
      <c r="Y17" s="189" t="s">
        <v>125</v>
      </c>
      <c r="Z17" s="188">
        <v>7474</v>
      </c>
      <c r="AA17" s="188">
        <v>7474</v>
      </c>
      <c r="AB17" s="188">
        <v>0</v>
      </c>
      <c r="AC17" s="188">
        <v>1705116</v>
      </c>
      <c r="AD17" s="188">
        <v>4638</v>
      </c>
      <c r="AE17" s="190">
        <v>1709754</v>
      </c>
      <c r="AY17" s="192"/>
      <c r="AZ17" s="192"/>
    </row>
    <row r="18" spans="1:52" s="191" customFormat="1" ht="15" customHeight="1">
      <c r="A18" s="187" t="s">
        <v>134</v>
      </c>
      <c r="B18" s="188">
        <v>12054</v>
      </c>
      <c r="C18" s="188">
        <v>184</v>
      </c>
      <c r="D18" s="188">
        <v>18</v>
      </c>
      <c r="E18" s="188">
        <v>79998</v>
      </c>
      <c r="F18" s="188">
        <v>657</v>
      </c>
      <c r="G18" s="188">
        <v>210</v>
      </c>
      <c r="H18" s="188">
        <v>92052</v>
      </c>
      <c r="I18" s="188">
        <v>841</v>
      </c>
      <c r="J18" s="188">
        <v>228</v>
      </c>
      <c r="K18" s="188">
        <v>32573</v>
      </c>
      <c r="L18" s="188">
        <v>180065</v>
      </c>
      <c r="M18" s="188">
        <v>212638</v>
      </c>
      <c r="N18" s="188">
        <v>459</v>
      </c>
      <c r="O18" s="188">
        <v>212</v>
      </c>
      <c r="P18" s="188">
        <v>1773</v>
      </c>
      <c r="Q18" s="188">
        <v>769</v>
      </c>
      <c r="R18" s="188">
        <v>2232</v>
      </c>
      <c r="S18" s="188">
        <v>981</v>
      </c>
      <c r="T18" s="188">
        <v>33</v>
      </c>
      <c r="U18" s="188">
        <v>268</v>
      </c>
      <c r="V18" s="188">
        <v>301</v>
      </c>
      <c r="W18" s="189" t="s">
        <v>125</v>
      </c>
      <c r="X18" s="189" t="s">
        <v>125</v>
      </c>
      <c r="Y18" s="189" t="s">
        <v>125</v>
      </c>
      <c r="Z18" s="188">
        <v>105166</v>
      </c>
      <c r="AA18" s="188">
        <v>105166</v>
      </c>
      <c r="AB18" s="188">
        <v>0</v>
      </c>
      <c r="AC18" s="188">
        <v>31349788</v>
      </c>
      <c r="AD18" s="188">
        <v>169783</v>
      </c>
      <c r="AE18" s="190">
        <v>31519571</v>
      </c>
      <c r="AY18" s="192"/>
      <c r="AZ18" s="192"/>
    </row>
    <row r="19" spans="1:52" s="191" customFormat="1" ht="15" customHeight="1">
      <c r="A19" s="187" t="s">
        <v>135</v>
      </c>
      <c r="B19" s="188">
        <v>221</v>
      </c>
      <c r="C19" s="188">
        <v>1</v>
      </c>
      <c r="D19" s="188">
        <v>0</v>
      </c>
      <c r="E19" s="188">
        <v>1325</v>
      </c>
      <c r="F19" s="188">
        <v>12</v>
      </c>
      <c r="G19" s="188">
        <v>0</v>
      </c>
      <c r="H19" s="188">
        <v>1546</v>
      </c>
      <c r="I19" s="188">
        <v>13</v>
      </c>
      <c r="J19" s="188">
        <v>0</v>
      </c>
      <c r="K19" s="188">
        <v>583</v>
      </c>
      <c r="L19" s="188">
        <v>2971</v>
      </c>
      <c r="M19" s="188">
        <v>3554</v>
      </c>
      <c r="N19" s="188">
        <v>4</v>
      </c>
      <c r="O19" s="188">
        <v>1</v>
      </c>
      <c r="P19" s="188">
        <v>40</v>
      </c>
      <c r="Q19" s="188">
        <v>12</v>
      </c>
      <c r="R19" s="188">
        <v>44</v>
      </c>
      <c r="S19" s="188">
        <v>13</v>
      </c>
      <c r="T19" s="188">
        <v>0</v>
      </c>
      <c r="U19" s="188">
        <v>0</v>
      </c>
      <c r="V19" s="188">
        <v>0</v>
      </c>
      <c r="W19" s="189" t="s">
        <v>125</v>
      </c>
      <c r="X19" s="189" t="s">
        <v>125</v>
      </c>
      <c r="Y19" s="189" t="s">
        <v>125</v>
      </c>
      <c r="Z19" s="188">
        <v>1683</v>
      </c>
      <c r="AA19" s="188">
        <v>1683</v>
      </c>
      <c r="AB19" s="188">
        <v>0</v>
      </c>
      <c r="AC19" s="188">
        <v>438675</v>
      </c>
      <c r="AD19" s="188">
        <v>662</v>
      </c>
      <c r="AE19" s="190">
        <v>439337</v>
      </c>
      <c r="AY19" s="192"/>
      <c r="AZ19" s="192"/>
    </row>
    <row r="20" spans="1:52" s="191" customFormat="1" ht="15" customHeight="1">
      <c r="A20" s="187" t="s">
        <v>136</v>
      </c>
      <c r="B20" s="188">
        <v>910</v>
      </c>
      <c r="C20" s="188">
        <v>0</v>
      </c>
      <c r="D20" s="188">
        <v>0</v>
      </c>
      <c r="E20" s="188">
        <v>11486</v>
      </c>
      <c r="F20" s="188">
        <v>28</v>
      </c>
      <c r="G20" s="188">
        <v>7</v>
      </c>
      <c r="H20" s="188">
        <v>12396</v>
      </c>
      <c r="I20" s="188">
        <v>28</v>
      </c>
      <c r="J20" s="188">
        <v>7</v>
      </c>
      <c r="K20" s="188">
        <v>2250</v>
      </c>
      <c r="L20" s="188">
        <v>18752</v>
      </c>
      <c r="M20" s="188">
        <v>21002</v>
      </c>
      <c r="N20" s="188">
        <v>0</v>
      </c>
      <c r="O20" s="188">
        <v>0</v>
      </c>
      <c r="P20" s="188">
        <v>63</v>
      </c>
      <c r="Q20" s="188">
        <v>32</v>
      </c>
      <c r="R20" s="188">
        <v>63</v>
      </c>
      <c r="S20" s="188">
        <v>32</v>
      </c>
      <c r="T20" s="188">
        <v>0</v>
      </c>
      <c r="U20" s="188">
        <v>9</v>
      </c>
      <c r="V20" s="188">
        <v>9</v>
      </c>
      <c r="W20" s="189" t="s">
        <v>125</v>
      </c>
      <c r="X20" s="189" t="s">
        <v>125</v>
      </c>
      <c r="Y20" s="189" t="s">
        <v>125</v>
      </c>
      <c r="Z20" s="188">
        <v>13092</v>
      </c>
      <c r="AA20" s="188">
        <v>13092</v>
      </c>
      <c r="AB20" s="188">
        <v>0</v>
      </c>
      <c r="AC20" s="188">
        <v>2924838</v>
      </c>
      <c r="AD20" s="188">
        <v>5385</v>
      </c>
      <c r="AE20" s="190">
        <v>2930223</v>
      </c>
      <c r="AY20" s="192"/>
      <c r="AZ20" s="192"/>
    </row>
    <row r="21" spans="1:52" s="191" customFormat="1" ht="15" customHeight="1">
      <c r="A21" s="187" t="s">
        <v>137</v>
      </c>
      <c r="B21" s="188">
        <v>2272</v>
      </c>
      <c r="C21" s="188">
        <v>29</v>
      </c>
      <c r="D21" s="188">
        <v>3</v>
      </c>
      <c r="E21" s="188">
        <v>15008</v>
      </c>
      <c r="F21" s="188">
        <v>310</v>
      </c>
      <c r="G21" s="188">
        <v>58</v>
      </c>
      <c r="H21" s="188">
        <v>17280</v>
      </c>
      <c r="I21" s="188">
        <v>339</v>
      </c>
      <c r="J21" s="188">
        <v>61</v>
      </c>
      <c r="K21" s="188">
        <v>6431</v>
      </c>
      <c r="L21" s="188">
        <v>35329</v>
      </c>
      <c r="M21" s="188">
        <v>41760</v>
      </c>
      <c r="N21" s="188">
        <v>78</v>
      </c>
      <c r="O21" s="188">
        <v>29</v>
      </c>
      <c r="P21" s="188">
        <v>831</v>
      </c>
      <c r="Q21" s="188">
        <v>346</v>
      </c>
      <c r="R21" s="188">
        <v>909</v>
      </c>
      <c r="S21" s="188">
        <v>375</v>
      </c>
      <c r="T21" s="188">
        <v>4</v>
      </c>
      <c r="U21" s="188">
        <v>66</v>
      </c>
      <c r="V21" s="188">
        <v>70</v>
      </c>
      <c r="W21" s="189" t="s">
        <v>125</v>
      </c>
      <c r="X21" s="189" t="s">
        <v>125</v>
      </c>
      <c r="Y21" s="189" t="s">
        <v>125</v>
      </c>
      <c r="Z21" s="188">
        <v>18621</v>
      </c>
      <c r="AA21" s="188">
        <v>18621</v>
      </c>
      <c r="AB21" s="188">
        <v>0</v>
      </c>
      <c r="AC21" s="188">
        <v>5485286</v>
      </c>
      <c r="AD21" s="188">
        <v>47049</v>
      </c>
      <c r="AE21" s="190">
        <v>5532335</v>
      </c>
      <c r="AY21" s="192"/>
      <c r="AZ21" s="192"/>
    </row>
    <row r="22" spans="1:52" s="191" customFormat="1" ht="15" customHeight="1">
      <c r="A22" s="187" t="s">
        <v>138</v>
      </c>
      <c r="B22" s="188">
        <v>95</v>
      </c>
      <c r="C22" s="188">
        <v>0</v>
      </c>
      <c r="D22" s="188">
        <v>0</v>
      </c>
      <c r="E22" s="188">
        <v>938</v>
      </c>
      <c r="F22" s="188">
        <v>6</v>
      </c>
      <c r="G22" s="188">
        <v>2</v>
      </c>
      <c r="H22" s="188">
        <v>1033</v>
      </c>
      <c r="I22" s="188">
        <v>6</v>
      </c>
      <c r="J22" s="188">
        <v>2</v>
      </c>
      <c r="K22" s="188">
        <v>255</v>
      </c>
      <c r="L22" s="188">
        <v>1734</v>
      </c>
      <c r="M22" s="188">
        <v>1989</v>
      </c>
      <c r="N22" s="188">
        <v>0</v>
      </c>
      <c r="O22" s="188">
        <v>0</v>
      </c>
      <c r="P22" s="188">
        <v>15</v>
      </c>
      <c r="Q22" s="188">
        <v>7</v>
      </c>
      <c r="R22" s="188">
        <v>15</v>
      </c>
      <c r="S22" s="188">
        <v>7</v>
      </c>
      <c r="T22" s="188">
        <v>0</v>
      </c>
      <c r="U22" s="188">
        <v>2</v>
      </c>
      <c r="V22" s="188">
        <v>2</v>
      </c>
      <c r="W22" s="189" t="s">
        <v>125</v>
      </c>
      <c r="X22" s="189" t="s">
        <v>125</v>
      </c>
      <c r="Y22" s="189" t="s">
        <v>125</v>
      </c>
      <c r="Z22" s="188">
        <v>1071</v>
      </c>
      <c r="AA22" s="188">
        <v>1071</v>
      </c>
      <c r="AB22" s="188">
        <v>0</v>
      </c>
      <c r="AC22" s="188">
        <v>252971</v>
      </c>
      <c r="AD22" s="188">
        <v>671</v>
      </c>
      <c r="AE22" s="190">
        <v>253642</v>
      </c>
      <c r="AY22" s="192"/>
      <c r="AZ22" s="192"/>
    </row>
    <row r="23" spans="1:52" s="191" customFormat="1" ht="15" customHeight="1">
      <c r="A23" s="187" t="s">
        <v>139</v>
      </c>
      <c r="B23" s="188">
        <v>9830</v>
      </c>
      <c r="C23" s="188">
        <v>55</v>
      </c>
      <c r="D23" s="188">
        <v>2</v>
      </c>
      <c r="E23" s="188">
        <v>59959</v>
      </c>
      <c r="F23" s="188">
        <v>402</v>
      </c>
      <c r="G23" s="188">
        <v>286</v>
      </c>
      <c r="H23" s="188">
        <v>69789</v>
      </c>
      <c r="I23" s="188">
        <v>457</v>
      </c>
      <c r="J23" s="188">
        <v>288</v>
      </c>
      <c r="K23" s="188">
        <v>26549</v>
      </c>
      <c r="L23" s="188">
        <v>135079</v>
      </c>
      <c r="M23" s="188">
        <v>161628</v>
      </c>
      <c r="N23" s="188">
        <v>129</v>
      </c>
      <c r="O23" s="188">
        <v>62</v>
      </c>
      <c r="P23" s="188">
        <v>1108</v>
      </c>
      <c r="Q23" s="188">
        <v>443</v>
      </c>
      <c r="R23" s="188">
        <v>1237</v>
      </c>
      <c r="S23" s="188">
        <v>505</v>
      </c>
      <c r="T23" s="188">
        <v>2</v>
      </c>
      <c r="U23" s="188">
        <v>451</v>
      </c>
      <c r="V23" s="188">
        <v>453</v>
      </c>
      <c r="W23" s="189" t="s">
        <v>125</v>
      </c>
      <c r="X23" s="189" t="s">
        <v>125</v>
      </c>
      <c r="Y23" s="189" t="s">
        <v>125</v>
      </c>
      <c r="Z23" s="188">
        <v>74350</v>
      </c>
      <c r="AA23" s="188">
        <v>74350</v>
      </c>
      <c r="AB23" s="188">
        <v>0</v>
      </c>
      <c r="AC23" s="188">
        <v>21683640</v>
      </c>
      <c r="AD23" s="188">
        <v>123305</v>
      </c>
      <c r="AE23" s="190">
        <v>21806945</v>
      </c>
      <c r="AY23" s="192"/>
      <c r="AZ23" s="192"/>
    </row>
    <row r="24" spans="1:52" s="191" customFormat="1" ht="15" customHeight="1">
      <c r="A24" s="187" t="s">
        <v>140</v>
      </c>
      <c r="B24" s="188">
        <v>1416</v>
      </c>
      <c r="C24" s="188">
        <v>14</v>
      </c>
      <c r="D24" s="188">
        <v>3</v>
      </c>
      <c r="E24" s="188">
        <v>9159</v>
      </c>
      <c r="F24" s="188">
        <v>107</v>
      </c>
      <c r="G24" s="188">
        <v>21</v>
      </c>
      <c r="H24" s="188">
        <v>10575</v>
      </c>
      <c r="I24" s="188">
        <v>121</v>
      </c>
      <c r="J24" s="188">
        <v>24</v>
      </c>
      <c r="K24" s="188">
        <v>3900</v>
      </c>
      <c r="L24" s="188">
        <v>19935</v>
      </c>
      <c r="M24" s="188">
        <v>23835</v>
      </c>
      <c r="N24" s="188">
        <v>37</v>
      </c>
      <c r="O24" s="188">
        <v>14</v>
      </c>
      <c r="P24" s="188">
        <v>318</v>
      </c>
      <c r="Q24" s="188">
        <v>111</v>
      </c>
      <c r="R24" s="188">
        <v>355</v>
      </c>
      <c r="S24" s="188">
        <v>125</v>
      </c>
      <c r="T24" s="188">
        <v>3</v>
      </c>
      <c r="U24" s="188">
        <v>27</v>
      </c>
      <c r="V24" s="188">
        <v>30</v>
      </c>
      <c r="W24" s="189" t="s">
        <v>125</v>
      </c>
      <c r="X24" s="189" t="s">
        <v>125</v>
      </c>
      <c r="Y24" s="189" t="s">
        <v>125</v>
      </c>
      <c r="Z24" s="188">
        <v>11245</v>
      </c>
      <c r="AA24" s="188">
        <v>11245</v>
      </c>
      <c r="AB24" s="188">
        <v>0</v>
      </c>
      <c r="AC24" s="188">
        <v>3080200</v>
      </c>
      <c r="AD24" s="188">
        <v>15151</v>
      </c>
      <c r="AE24" s="190">
        <v>3095351</v>
      </c>
      <c r="AY24" s="192"/>
      <c r="AZ24" s="192"/>
    </row>
    <row r="25" spans="1:52" s="191" customFormat="1" ht="15" customHeight="1">
      <c r="A25" s="187" t="s">
        <v>141</v>
      </c>
      <c r="B25" s="188">
        <v>600</v>
      </c>
      <c r="C25" s="188">
        <v>3</v>
      </c>
      <c r="D25" s="188">
        <v>0</v>
      </c>
      <c r="E25" s="188">
        <v>5962</v>
      </c>
      <c r="F25" s="188">
        <v>21</v>
      </c>
      <c r="G25" s="188">
        <v>6</v>
      </c>
      <c r="H25" s="188">
        <v>6562</v>
      </c>
      <c r="I25" s="188">
        <v>24</v>
      </c>
      <c r="J25" s="188">
        <v>6</v>
      </c>
      <c r="K25" s="188">
        <v>1513</v>
      </c>
      <c r="L25" s="188">
        <v>10797</v>
      </c>
      <c r="M25" s="188">
        <v>12310</v>
      </c>
      <c r="N25" s="188">
        <v>8</v>
      </c>
      <c r="O25" s="188">
        <v>3</v>
      </c>
      <c r="P25" s="188">
        <v>54</v>
      </c>
      <c r="Q25" s="188">
        <v>23</v>
      </c>
      <c r="R25" s="188">
        <v>62</v>
      </c>
      <c r="S25" s="188">
        <v>26</v>
      </c>
      <c r="T25" s="188">
        <v>0</v>
      </c>
      <c r="U25" s="188">
        <v>8</v>
      </c>
      <c r="V25" s="188">
        <v>8</v>
      </c>
      <c r="W25" s="189" t="s">
        <v>125</v>
      </c>
      <c r="X25" s="189" t="s">
        <v>125</v>
      </c>
      <c r="Y25" s="189" t="s">
        <v>125</v>
      </c>
      <c r="Z25" s="188">
        <v>6971</v>
      </c>
      <c r="AA25" s="188">
        <v>6971</v>
      </c>
      <c r="AB25" s="188">
        <v>0</v>
      </c>
      <c r="AC25" s="188">
        <v>1674218</v>
      </c>
      <c r="AD25" s="188">
        <v>3248</v>
      </c>
      <c r="AE25" s="190">
        <v>1677466</v>
      </c>
      <c r="AY25" s="192"/>
      <c r="AZ25" s="192"/>
    </row>
    <row r="26" spans="1:52" s="191" customFormat="1" ht="15" customHeight="1">
      <c r="A26" s="187" t="s">
        <v>142</v>
      </c>
      <c r="B26" s="188">
        <v>223</v>
      </c>
      <c r="C26" s="188">
        <v>0</v>
      </c>
      <c r="D26" s="188">
        <v>0</v>
      </c>
      <c r="E26" s="188">
        <v>1349</v>
      </c>
      <c r="F26" s="188">
        <v>3</v>
      </c>
      <c r="G26" s="188">
        <v>0</v>
      </c>
      <c r="H26" s="188">
        <v>1572</v>
      </c>
      <c r="I26" s="188">
        <v>3</v>
      </c>
      <c r="J26" s="188">
        <v>0</v>
      </c>
      <c r="K26" s="188">
        <v>621</v>
      </c>
      <c r="L26" s="188">
        <v>2502</v>
      </c>
      <c r="M26" s="188">
        <v>3123</v>
      </c>
      <c r="N26" s="188">
        <v>0</v>
      </c>
      <c r="O26" s="188">
        <v>0</v>
      </c>
      <c r="P26" s="188">
        <v>6</v>
      </c>
      <c r="Q26" s="188">
        <v>4</v>
      </c>
      <c r="R26" s="188">
        <v>6</v>
      </c>
      <c r="S26" s="188">
        <v>4</v>
      </c>
      <c r="T26" s="188">
        <v>0</v>
      </c>
      <c r="U26" s="188">
        <v>0</v>
      </c>
      <c r="V26" s="188">
        <v>0</v>
      </c>
      <c r="W26" s="189" t="s">
        <v>125</v>
      </c>
      <c r="X26" s="189" t="s">
        <v>125</v>
      </c>
      <c r="Y26" s="189" t="s">
        <v>125</v>
      </c>
      <c r="Z26" s="188">
        <v>1698</v>
      </c>
      <c r="AA26" s="188">
        <v>1698</v>
      </c>
      <c r="AB26" s="188">
        <v>0</v>
      </c>
      <c r="AC26" s="188">
        <v>443156</v>
      </c>
      <c r="AD26" s="188">
        <v>0</v>
      </c>
      <c r="AE26" s="190">
        <v>443156</v>
      </c>
      <c r="AY26" s="192"/>
      <c r="AZ26" s="192"/>
    </row>
    <row r="27" spans="1:52" s="191" customFormat="1" ht="15" customHeight="1">
      <c r="A27" s="187" t="s">
        <v>214</v>
      </c>
      <c r="B27" s="188">
        <v>85139</v>
      </c>
      <c r="C27" s="188">
        <v>2230</v>
      </c>
      <c r="D27" s="188">
        <v>50</v>
      </c>
      <c r="E27" s="188">
        <v>457440</v>
      </c>
      <c r="F27" s="188">
        <v>5322</v>
      </c>
      <c r="G27" s="188">
        <v>3413</v>
      </c>
      <c r="H27" s="188">
        <v>542579</v>
      </c>
      <c r="I27" s="188">
        <v>7552</v>
      </c>
      <c r="J27" s="188">
        <v>3463</v>
      </c>
      <c r="K27" s="188">
        <v>210464</v>
      </c>
      <c r="L27" s="188">
        <v>870788</v>
      </c>
      <c r="M27" s="188">
        <v>1081252</v>
      </c>
      <c r="N27" s="188">
        <v>4704</v>
      </c>
      <c r="O27" s="188">
        <v>3045</v>
      </c>
      <c r="P27" s="188">
        <v>12279</v>
      </c>
      <c r="Q27" s="188">
        <v>6542</v>
      </c>
      <c r="R27" s="188">
        <v>16983</v>
      </c>
      <c r="S27" s="188">
        <v>9587</v>
      </c>
      <c r="T27" s="188">
        <v>64</v>
      </c>
      <c r="U27" s="188">
        <v>4371</v>
      </c>
      <c r="V27" s="188">
        <v>4435</v>
      </c>
      <c r="W27" s="189" t="s">
        <v>125</v>
      </c>
      <c r="X27" s="189" t="s">
        <v>125</v>
      </c>
      <c r="Y27" s="189" t="s">
        <v>125</v>
      </c>
      <c r="Z27" s="188">
        <v>591344</v>
      </c>
      <c r="AA27" s="188">
        <v>591344</v>
      </c>
      <c r="AB27" s="188">
        <v>0</v>
      </c>
      <c r="AC27" s="188">
        <v>161436132</v>
      </c>
      <c r="AD27" s="188">
        <v>1831334</v>
      </c>
      <c r="AE27" s="190">
        <v>163267466</v>
      </c>
      <c r="AY27" s="192"/>
      <c r="AZ27" s="192"/>
    </row>
    <row r="28" spans="1:52" s="191" customFormat="1" ht="15" customHeight="1">
      <c r="A28" s="187" t="s">
        <v>144</v>
      </c>
      <c r="B28" s="188">
        <v>1630</v>
      </c>
      <c r="C28" s="188">
        <v>9</v>
      </c>
      <c r="D28" s="188">
        <v>1</v>
      </c>
      <c r="E28" s="188">
        <v>10124</v>
      </c>
      <c r="F28" s="188">
        <v>55</v>
      </c>
      <c r="G28" s="188">
        <v>6</v>
      </c>
      <c r="H28" s="188">
        <v>11754</v>
      </c>
      <c r="I28" s="188">
        <v>64</v>
      </c>
      <c r="J28" s="188">
        <v>7</v>
      </c>
      <c r="K28" s="188">
        <v>4472</v>
      </c>
      <c r="L28" s="188">
        <v>24013</v>
      </c>
      <c r="M28" s="188">
        <v>28485</v>
      </c>
      <c r="N28" s="188">
        <v>24</v>
      </c>
      <c r="O28" s="188">
        <v>9</v>
      </c>
      <c r="P28" s="188">
        <v>176</v>
      </c>
      <c r="Q28" s="188">
        <v>58</v>
      </c>
      <c r="R28" s="188">
        <v>200</v>
      </c>
      <c r="S28" s="188">
        <v>67</v>
      </c>
      <c r="T28" s="188">
        <v>1</v>
      </c>
      <c r="U28" s="188">
        <v>9</v>
      </c>
      <c r="V28" s="188">
        <v>10</v>
      </c>
      <c r="W28" s="189" t="s">
        <v>125</v>
      </c>
      <c r="X28" s="189" t="s">
        <v>125</v>
      </c>
      <c r="Y28" s="189" t="s">
        <v>125</v>
      </c>
      <c r="Z28" s="188">
        <v>9101</v>
      </c>
      <c r="AA28" s="188">
        <v>9101</v>
      </c>
      <c r="AB28" s="188">
        <v>0</v>
      </c>
      <c r="AC28" s="188">
        <v>3721078</v>
      </c>
      <c r="AD28" s="188">
        <v>7816</v>
      </c>
      <c r="AE28" s="190">
        <v>3728894</v>
      </c>
      <c r="AY28" s="192"/>
      <c r="AZ28" s="192"/>
    </row>
    <row r="29" spans="1:52" s="191" customFormat="1" ht="15" customHeight="1">
      <c r="A29" s="187" t="s">
        <v>145</v>
      </c>
      <c r="B29" s="188">
        <v>526</v>
      </c>
      <c r="C29" s="188">
        <v>36</v>
      </c>
      <c r="D29" s="188">
        <v>3</v>
      </c>
      <c r="E29" s="188">
        <v>5346</v>
      </c>
      <c r="F29" s="188">
        <v>217</v>
      </c>
      <c r="G29" s="188">
        <v>66</v>
      </c>
      <c r="H29" s="188">
        <v>5872</v>
      </c>
      <c r="I29" s="188">
        <v>253</v>
      </c>
      <c r="J29" s="188">
        <v>69</v>
      </c>
      <c r="K29" s="188">
        <v>1151</v>
      </c>
      <c r="L29" s="188">
        <v>8133</v>
      </c>
      <c r="M29" s="188">
        <v>9284</v>
      </c>
      <c r="N29" s="188">
        <v>79</v>
      </c>
      <c r="O29" s="188">
        <v>40</v>
      </c>
      <c r="P29" s="188">
        <v>428</v>
      </c>
      <c r="Q29" s="188">
        <v>267</v>
      </c>
      <c r="R29" s="188">
        <v>507</v>
      </c>
      <c r="S29" s="188">
        <v>307</v>
      </c>
      <c r="T29" s="188">
        <v>3</v>
      </c>
      <c r="U29" s="188">
        <v>81</v>
      </c>
      <c r="V29" s="188">
        <v>84</v>
      </c>
      <c r="W29" s="189" t="s">
        <v>125</v>
      </c>
      <c r="X29" s="189" t="s">
        <v>125</v>
      </c>
      <c r="Y29" s="189" t="s">
        <v>125</v>
      </c>
      <c r="Z29" s="188">
        <v>6465</v>
      </c>
      <c r="AA29" s="188">
        <v>6465</v>
      </c>
      <c r="AB29" s="188">
        <v>0</v>
      </c>
      <c r="AC29" s="188">
        <v>1393354</v>
      </c>
      <c r="AD29" s="188">
        <v>34159</v>
      </c>
      <c r="AE29" s="190">
        <v>1427513</v>
      </c>
      <c r="AY29" s="192"/>
      <c r="AZ29" s="192"/>
    </row>
    <row r="30" spans="1:52" s="191" customFormat="1" ht="15" customHeight="1">
      <c r="A30" s="187" t="s">
        <v>146</v>
      </c>
      <c r="B30" s="188">
        <v>90</v>
      </c>
      <c r="C30" s="188">
        <v>1</v>
      </c>
      <c r="D30" s="188">
        <v>0</v>
      </c>
      <c r="E30" s="188">
        <v>970</v>
      </c>
      <c r="F30" s="188">
        <v>1</v>
      </c>
      <c r="G30" s="188">
        <v>2</v>
      </c>
      <c r="H30" s="188">
        <v>1060</v>
      </c>
      <c r="I30" s="188">
        <v>2</v>
      </c>
      <c r="J30" s="188">
        <v>2</v>
      </c>
      <c r="K30" s="188">
        <v>245</v>
      </c>
      <c r="L30" s="188">
        <v>1713</v>
      </c>
      <c r="M30" s="188">
        <v>1958</v>
      </c>
      <c r="N30" s="188">
        <v>1</v>
      </c>
      <c r="O30" s="188">
        <v>1</v>
      </c>
      <c r="P30" s="188">
        <v>1</v>
      </c>
      <c r="Q30" s="188">
        <v>1</v>
      </c>
      <c r="R30" s="188">
        <v>2</v>
      </c>
      <c r="S30" s="188">
        <v>2</v>
      </c>
      <c r="T30" s="188">
        <v>0</v>
      </c>
      <c r="U30" s="188">
        <v>2</v>
      </c>
      <c r="V30" s="188">
        <v>2</v>
      </c>
      <c r="W30" s="189" t="s">
        <v>125</v>
      </c>
      <c r="X30" s="189" t="s">
        <v>125</v>
      </c>
      <c r="Y30" s="189" t="s">
        <v>125</v>
      </c>
      <c r="Z30" s="188">
        <v>1109</v>
      </c>
      <c r="AA30" s="188">
        <v>1109</v>
      </c>
      <c r="AB30" s="188">
        <v>0</v>
      </c>
      <c r="AC30" s="188">
        <v>258149</v>
      </c>
      <c r="AD30" s="188">
        <v>477</v>
      </c>
      <c r="AE30" s="190">
        <v>258626</v>
      </c>
      <c r="AY30" s="192"/>
      <c r="AZ30" s="192"/>
    </row>
    <row r="31" spans="1:52" s="191" customFormat="1" ht="15" customHeight="1">
      <c r="A31" s="187" t="s">
        <v>147</v>
      </c>
      <c r="B31" s="188">
        <v>580</v>
      </c>
      <c r="C31" s="188">
        <v>6</v>
      </c>
      <c r="D31" s="188">
        <v>0</v>
      </c>
      <c r="E31" s="188">
        <v>5975</v>
      </c>
      <c r="F31" s="188">
        <v>40</v>
      </c>
      <c r="G31" s="188">
        <v>9</v>
      </c>
      <c r="H31" s="188">
        <v>6555</v>
      </c>
      <c r="I31" s="188">
        <v>46</v>
      </c>
      <c r="J31" s="188">
        <v>9</v>
      </c>
      <c r="K31" s="188">
        <v>1462</v>
      </c>
      <c r="L31" s="188">
        <v>10750</v>
      </c>
      <c r="M31" s="188">
        <v>12212</v>
      </c>
      <c r="N31" s="188">
        <v>16</v>
      </c>
      <c r="O31" s="188">
        <v>6</v>
      </c>
      <c r="P31" s="188">
        <v>104</v>
      </c>
      <c r="Q31" s="188">
        <v>42</v>
      </c>
      <c r="R31" s="188">
        <v>120</v>
      </c>
      <c r="S31" s="188">
        <v>48</v>
      </c>
      <c r="T31" s="188">
        <v>0</v>
      </c>
      <c r="U31" s="188">
        <v>11</v>
      </c>
      <c r="V31" s="188">
        <v>11</v>
      </c>
      <c r="W31" s="189" t="s">
        <v>125</v>
      </c>
      <c r="X31" s="189" t="s">
        <v>125</v>
      </c>
      <c r="Y31" s="189" t="s">
        <v>125</v>
      </c>
      <c r="Z31" s="188">
        <v>6950</v>
      </c>
      <c r="AA31" s="188">
        <v>6950</v>
      </c>
      <c r="AB31" s="188">
        <v>0</v>
      </c>
      <c r="AC31" s="188">
        <v>1718027</v>
      </c>
      <c r="AD31" s="188">
        <v>6670</v>
      </c>
      <c r="AE31" s="190">
        <v>1724697</v>
      </c>
      <c r="AY31" s="192"/>
      <c r="AZ31" s="192"/>
    </row>
    <row r="32" spans="1:52" s="191" customFormat="1" ht="15" customHeight="1">
      <c r="A32" s="187" t="s">
        <v>148</v>
      </c>
      <c r="B32" s="188">
        <v>3745</v>
      </c>
      <c r="C32" s="188">
        <v>22</v>
      </c>
      <c r="D32" s="188">
        <v>0</v>
      </c>
      <c r="E32" s="188">
        <v>20283</v>
      </c>
      <c r="F32" s="188">
        <v>75</v>
      </c>
      <c r="G32" s="188">
        <v>10</v>
      </c>
      <c r="H32" s="188">
        <v>24028</v>
      </c>
      <c r="I32" s="188">
        <v>97</v>
      </c>
      <c r="J32" s="188">
        <v>10</v>
      </c>
      <c r="K32" s="188">
        <v>9969</v>
      </c>
      <c r="L32" s="188">
        <v>45406</v>
      </c>
      <c r="M32" s="188">
        <v>55375</v>
      </c>
      <c r="N32" s="188">
        <v>48</v>
      </c>
      <c r="O32" s="188">
        <v>23</v>
      </c>
      <c r="P32" s="188">
        <v>199</v>
      </c>
      <c r="Q32" s="188">
        <v>87</v>
      </c>
      <c r="R32" s="188">
        <v>247</v>
      </c>
      <c r="S32" s="188">
        <v>110</v>
      </c>
      <c r="T32" s="188">
        <v>0</v>
      </c>
      <c r="U32" s="188">
        <v>11</v>
      </c>
      <c r="V32" s="188">
        <v>11</v>
      </c>
      <c r="W32" s="189" t="s">
        <v>125</v>
      </c>
      <c r="X32" s="189" t="s">
        <v>125</v>
      </c>
      <c r="Y32" s="189" t="s">
        <v>125</v>
      </c>
      <c r="Z32" s="188">
        <v>25237</v>
      </c>
      <c r="AA32" s="188">
        <v>25237</v>
      </c>
      <c r="AB32" s="188">
        <v>0</v>
      </c>
      <c r="AC32" s="188">
        <v>7340476</v>
      </c>
      <c r="AD32" s="188">
        <v>10332</v>
      </c>
      <c r="AE32" s="190">
        <v>7350808</v>
      </c>
      <c r="AY32" s="192"/>
      <c r="AZ32" s="192"/>
    </row>
    <row r="33" spans="1:52" s="191" customFormat="1" ht="15" customHeight="1">
      <c r="A33" s="187" t="s">
        <v>149</v>
      </c>
      <c r="B33" s="188">
        <v>68</v>
      </c>
      <c r="C33" s="188">
        <v>1</v>
      </c>
      <c r="D33" s="188">
        <v>0</v>
      </c>
      <c r="E33" s="188">
        <v>463</v>
      </c>
      <c r="F33" s="188">
        <v>0</v>
      </c>
      <c r="G33" s="188">
        <v>0</v>
      </c>
      <c r="H33" s="188">
        <v>531</v>
      </c>
      <c r="I33" s="188">
        <v>1</v>
      </c>
      <c r="J33" s="188">
        <v>0</v>
      </c>
      <c r="K33" s="188">
        <v>160</v>
      </c>
      <c r="L33" s="188">
        <v>928</v>
      </c>
      <c r="M33" s="188">
        <v>1088</v>
      </c>
      <c r="N33" s="188">
        <v>1</v>
      </c>
      <c r="O33" s="188">
        <v>1</v>
      </c>
      <c r="P33" s="188">
        <v>0</v>
      </c>
      <c r="Q33" s="188">
        <v>0</v>
      </c>
      <c r="R33" s="188">
        <v>1</v>
      </c>
      <c r="S33" s="188">
        <v>1</v>
      </c>
      <c r="T33" s="188">
        <v>0</v>
      </c>
      <c r="U33" s="188">
        <v>0</v>
      </c>
      <c r="V33" s="188">
        <v>0</v>
      </c>
      <c r="W33" s="189" t="s">
        <v>125</v>
      </c>
      <c r="X33" s="189" t="s">
        <v>125</v>
      </c>
      <c r="Y33" s="189" t="s">
        <v>125</v>
      </c>
      <c r="Z33" s="188">
        <v>557</v>
      </c>
      <c r="AA33" s="188">
        <v>557</v>
      </c>
      <c r="AB33" s="188">
        <v>0</v>
      </c>
      <c r="AC33" s="188">
        <v>144291</v>
      </c>
      <c r="AD33" s="188">
        <v>121</v>
      </c>
      <c r="AE33" s="190">
        <v>144412</v>
      </c>
      <c r="AY33" s="192"/>
      <c r="AZ33" s="192"/>
    </row>
    <row r="34" spans="1:52" s="191" customFormat="1" ht="15" customHeight="1">
      <c r="A34" s="187" t="s">
        <v>150</v>
      </c>
      <c r="B34" s="188">
        <v>15</v>
      </c>
      <c r="C34" s="188">
        <v>0</v>
      </c>
      <c r="D34" s="188">
        <v>0</v>
      </c>
      <c r="E34" s="188">
        <v>440</v>
      </c>
      <c r="F34" s="188">
        <v>3</v>
      </c>
      <c r="G34" s="188">
        <v>0</v>
      </c>
      <c r="H34" s="188">
        <v>455</v>
      </c>
      <c r="I34" s="188">
        <v>3</v>
      </c>
      <c r="J34" s="188">
        <v>0</v>
      </c>
      <c r="K34" s="188">
        <v>39</v>
      </c>
      <c r="L34" s="188">
        <v>739</v>
      </c>
      <c r="M34" s="188">
        <v>778</v>
      </c>
      <c r="N34" s="188">
        <v>0</v>
      </c>
      <c r="O34" s="188">
        <v>0</v>
      </c>
      <c r="P34" s="188">
        <v>6</v>
      </c>
      <c r="Q34" s="188">
        <v>3</v>
      </c>
      <c r="R34" s="188">
        <v>6</v>
      </c>
      <c r="S34" s="188">
        <v>3</v>
      </c>
      <c r="T34" s="188">
        <v>0</v>
      </c>
      <c r="U34" s="188">
        <v>0</v>
      </c>
      <c r="V34" s="188">
        <v>0</v>
      </c>
      <c r="W34" s="189" t="s">
        <v>125</v>
      </c>
      <c r="X34" s="189" t="s">
        <v>125</v>
      </c>
      <c r="Y34" s="189" t="s">
        <v>125</v>
      </c>
      <c r="Z34" s="188">
        <v>491</v>
      </c>
      <c r="AA34" s="188">
        <v>491</v>
      </c>
      <c r="AB34" s="188">
        <v>0</v>
      </c>
      <c r="AC34" s="188">
        <v>105752</v>
      </c>
      <c r="AD34" s="188">
        <v>308</v>
      </c>
      <c r="AE34" s="190">
        <v>106060</v>
      </c>
      <c r="AY34" s="192"/>
      <c r="AZ34" s="192"/>
    </row>
    <row r="35" spans="1:52" s="191" customFormat="1" ht="15" customHeight="1">
      <c r="A35" s="187" t="s">
        <v>151</v>
      </c>
      <c r="B35" s="188">
        <v>2061</v>
      </c>
      <c r="C35" s="188">
        <v>22</v>
      </c>
      <c r="D35" s="188">
        <v>0</v>
      </c>
      <c r="E35" s="188">
        <v>18640</v>
      </c>
      <c r="F35" s="188">
        <v>187</v>
      </c>
      <c r="G35" s="188">
        <v>37</v>
      </c>
      <c r="H35" s="188">
        <v>20701</v>
      </c>
      <c r="I35" s="188">
        <v>209</v>
      </c>
      <c r="J35" s="188">
        <v>37</v>
      </c>
      <c r="K35" s="188">
        <v>5305</v>
      </c>
      <c r="L35" s="188">
        <v>39732</v>
      </c>
      <c r="M35" s="188">
        <v>45037</v>
      </c>
      <c r="N35" s="188">
        <v>59</v>
      </c>
      <c r="O35" s="188">
        <v>23</v>
      </c>
      <c r="P35" s="188">
        <v>507</v>
      </c>
      <c r="Q35" s="188">
        <v>216</v>
      </c>
      <c r="R35" s="188">
        <v>566</v>
      </c>
      <c r="S35" s="188">
        <v>239</v>
      </c>
      <c r="T35" s="188">
        <v>0</v>
      </c>
      <c r="U35" s="188">
        <v>50</v>
      </c>
      <c r="V35" s="188">
        <v>50</v>
      </c>
      <c r="W35" s="189" t="s">
        <v>125</v>
      </c>
      <c r="X35" s="189" t="s">
        <v>125</v>
      </c>
      <c r="Y35" s="189" t="s">
        <v>125</v>
      </c>
      <c r="Z35" s="188">
        <v>22112</v>
      </c>
      <c r="AA35" s="188">
        <v>22112</v>
      </c>
      <c r="AB35" s="188">
        <v>0</v>
      </c>
      <c r="AC35" s="188">
        <v>5796455</v>
      </c>
      <c r="AD35" s="188">
        <v>24928</v>
      </c>
      <c r="AE35" s="190">
        <v>5821383</v>
      </c>
      <c r="AY35" s="192"/>
      <c r="AZ35" s="192"/>
    </row>
    <row r="36" spans="1:52" s="191" customFormat="1" ht="15" customHeight="1">
      <c r="A36" s="187" t="s">
        <v>152</v>
      </c>
      <c r="B36" s="188">
        <v>307</v>
      </c>
      <c r="C36" s="188">
        <v>8</v>
      </c>
      <c r="D36" s="188">
        <v>0</v>
      </c>
      <c r="E36" s="188">
        <v>3099</v>
      </c>
      <c r="F36" s="188">
        <v>46</v>
      </c>
      <c r="G36" s="188">
        <v>9</v>
      </c>
      <c r="H36" s="188">
        <v>3406</v>
      </c>
      <c r="I36" s="188">
        <v>54</v>
      </c>
      <c r="J36" s="188">
        <v>9</v>
      </c>
      <c r="K36" s="188">
        <v>744</v>
      </c>
      <c r="L36" s="188">
        <v>6124</v>
      </c>
      <c r="M36" s="188">
        <v>6868</v>
      </c>
      <c r="N36" s="188">
        <v>18</v>
      </c>
      <c r="O36" s="188">
        <v>10</v>
      </c>
      <c r="P36" s="188">
        <v>125</v>
      </c>
      <c r="Q36" s="188">
        <v>49</v>
      </c>
      <c r="R36" s="188">
        <v>143</v>
      </c>
      <c r="S36" s="188">
        <v>59</v>
      </c>
      <c r="T36" s="188">
        <v>0</v>
      </c>
      <c r="U36" s="188">
        <v>12</v>
      </c>
      <c r="V36" s="188">
        <v>12</v>
      </c>
      <c r="W36" s="189" t="s">
        <v>125</v>
      </c>
      <c r="X36" s="189" t="s">
        <v>125</v>
      </c>
      <c r="Y36" s="189" t="s">
        <v>125</v>
      </c>
      <c r="Z36" s="188">
        <v>3693</v>
      </c>
      <c r="AA36" s="188">
        <v>3693</v>
      </c>
      <c r="AB36" s="188">
        <v>0</v>
      </c>
      <c r="AC36" s="188">
        <v>859787</v>
      </c>
      <c r="AD36" s="188">
        <v>5089</v>
      </c>
      <c r="AE36" s="190">
        <v>864876</v>
      </c>
      <c r="AY36" s="192"/>
      <c r="AZ36" s="192"/>
    </row>
    <row r="37" spans="1:52" s="191" customFormat="1" ht="15" customHeight="1">
      <c r="A37" s="187" t="s">
        <v>153</v>
      </c>
      <c r="B37" s="188">
        <v>240</v>
      </c>
      <c r="C37" s="188">
        <v>0</v>
      </c>
      <c r="D37" s="188">
        <v>0</v>
      </c>
      <c r="E37" s="188">
        <v>4107</v>
      </c>
      <c r="F37" s="188">
        <v>11</v>
      </c>
      <c r="G37" s="188">
        <v>4</v>
      </c>
      <c r="H37" s="188">
        <v>4347</v>
      </c>
      <c r="I37" s="188">
        <v>11</v>
      </c>
      <c r="J37" s="188">
        <v>4</v>
      </c>
      <c r="K37" s="188">
        <v>607</v>
      </c>
      <c r="L37" s="188">
        <v>6956</v>
      </c>
      <c r="M37" s="188">
        <v>7563</v>
      </c>
      <c r="N37" s="188">
        <v>0</v>
      </c>
      <c r="O37" s="188">
        <v>0</v>
      </c>
      <c r="P37" s="188">
        <v>30</v>
      </c>
      <c r="Q37" s="188">
        <v>13</v>
      </c>
      <c r="R37" s="188">
        <v>30</v>
      </c>
      <c r="S37" s="188">
        <v>13</v>
      </c>
      <c r="T37" s="188">
        <v>0</v>
      </c>
      <c r="U37" s="188">
        <v>5</v>
      </c>
      <c r="V37" s="188">
        <v>5</v>
      </c>
      <c r="W37" s="189" t="s">
        <v>125</v>
      </c>
      <c r="X37" s="189" t="s">
        <v>125</v>
      </c>
      <c r="Y37" s="189" t="s">
        <v>125</v>
      </c>
      <c r="Z37" s="188">
        <v>4599</v>
      </c>
      <c r="AA37" s="188">
        <v>4599</v>
      </c>
      <c r="AB37" s="188">
        <v>0</v>
      </c>
      <c r="AC37" s="188">
        <v>1039303</v>
      </c>
      <c r="AD37" s="188">
        <v>1665</v>
      </c>
      <c r="AE37" s="190">
        <v>1040968</v>
      </c>
      <c r="AY37" s="192"/>
      <c r="AZ37" s="192"/>
    </row>
    <row r="38" spans="1:52" s="191" customFormat="1" ht="15" customHeight="1">
      <c r="A38" s="187" t="s">
        <v>154</v>
      </c>
      <c r="B38" s="188">
        <v>10562</v>
      </c>
      <c r="C38" s="188">
        <v>211</v>
      </c>
      <c r="D38" s="188">
        <v>5</v>
      </c>
      <c r="E38" s="188">
        <v>109040</v>
      </c>
      <c r="F38" s="188">
        <v>2074</v>
      </c>
      <c r="G38" s="188">
        <v>1129</v>
      </c>
      <c r="H38" s="188">
        <v>119602</v>
      </c>
      <c r="I38" s="188">
        <v>2285</v>
      </c>
      <c r="J38" s="188">
        <v>1134</v>
      </c>
      <c r="K38" s="188">
        <v>26963</v>
      </c>
      <c r="L38" s="188">
        <v>215306</v>
      </c>
      <c r="M38" s="188">
        <v>242269</v>
      </c>
      <c r="N38" s="188">
        <v>479</v>
      </c>
      <c r="O38" s="188">
        <v>291</v>
      </c>
      <c r="P38" s="188">
        <v>4504</v>
      </c>
      <c r="Q38" s="188">
        <v>2532</v>
      </c>
      <c r="R38" s="188">
        <v>4983</v>
      </c>
      <c r="S38" s="188">
        <v>2823</v>
      </c>
      <c r="T38" s="188">
        <v>8</v>
      </c>
      <c r="U38" s="188">
        <v>1527</v>
      </c>
      <c r="V38" s="188">
        <v>1535</v>
      </c>
      <c r="W38" s="189" t="s">
        <v>125</v>
      </c>
      <c r="X38" s="189" t="s">
        <v>125</v>
      </c>
      <c r="Y38" s="189" t="s">
        <v>125</v>
      </c>
      <c r="Z38" s="188">
        <v>128658</v>
      </c>
      <c r="AA38" s="188">
        <v>128658</v>
      </c>
      <c r="AB38" s="188">
        <v>0</v>
      </c>
      <c r="AC38" s="188">
        <v>33420064</v>
      </c>
      <c r="AD38" s="188">
        <v>498604</v>
      </c>
      <c r="AE38" s="190">
        <v>33918668</v>
      </c>
      <c r="AY38" s="192"/>
      <c r="AZ38" s="192"/>
    </row>
    <row r="39" spans="1:52" s="191" customFormat="1" ht="15" customHeight="1">
      <c r="A39" s="187" t="s">
        <v>155</v>
      </c>
      <c r="B39" s="188">
        <v>695</v>
      </c>
      <c r="C39" s="188">
        <v>8</v>
      </c>
      <c r="D39" s="188">
        <v>0</v>
      </c>
      <c r="E39" s="188">
        <v>8497</v>
      </c>
      <c r="F39" s="188">
        <v>39</v>
      </c>
      <c r="G39" s="188">
        <v>30</v>
      </c>
      <c r="H39" s="188">
        <v>9192</v>
      </c>
      <c r="I39" s="188">
        <v>47</v>
      </c>
      <c r="J39" s="188">
        <v>30</v>
      </c>
      <c r="K39" s="188">
        <v>1754</v>
      </c>
      <c r="L39" s="188">
        <v>15427</v>
      </c>
      <c r="M39" s="188">
        <v>17181</v>
      </c>
      <c r="N39" s="188">
        <v>17</v>
      </c>
      <c r="O39" s="188">
        <v>10</v>
      </c>
      <c r="P39" s="188">
        <v>98</v>
      </c>
      <c r="Q39" s="188">
        <v>46</v>
      </c>
      <c r="R39" s="188">
        <v>115</v>
      </c>
      <c r="S39" s="188">
        <v>56</v>
      </c>
      <c r="T39" s="188">
        <v>0</v>
      </c>
      <c r="U39" s="188">
        <v>47</v>
      </c>
      <c r="V39" s="188">
        <v>47</v>
      </c>
      <c r="W39" s="189" t="s">
        <v>125</v>
      </c>
      <c r="X39" s="189" t="s">
        <v>125</v>
      </c>
      <c r="Y39" s="189" t="s">
        <v>125</v>
      </c>
      <c r="Z39" s="188">
        <v>9709</v>
      </c>
      <c r="AA39" s="188">
        <v>9709</v>
      </c>
      <c r="AB39" s="188">
        <v>0</v>
      </c>
      <c r="AC39" s="188">
        <v>2238855</v>
      </c>
      <c r="AD39" s="188">
        <v>12351</v>
      </c>
      <c r="AE39" s="190">
        <v>2251206</v>
      </c>
      <c r="AY39" s="192"/>
      <c r="AZ39" s="192"/>
    </row>
    <row r="40" spans="1:52" s="191" customFormat="1" ht="15" customHeight="1">
      <c r="A40" s="187" t="s">
        <v>156</v>
      </c>
      <c r="B40" s="188">
        <v>73</v>
      </c>
      <c r="C40" s="188">
        <v>0</v>
      </c>
      <c r="D40" s="188">
        <v>0</v>
      </c>
      <c r="E40" s="188">
        <v>1041</v>
      </c>
      <c r="F40" s="188">
        <v>1</v>
      </c>
      <c r="G40" s="188">
        <v>0</v>
      </c>
      <c r="H40" s="188">
        <v>1114</v>
      </c>
      <c r="I40" s="188">
        <v>1</v>
      </c>
      <c r="J40" s="188">
        <v>0</v>
      </c>
      <c r="K40" s="188">
        <v>178</v>
      </c>
      <c r="L40" s="188">
        <v>1841</v>
      </c>
      <c r="M40" s="188">
        <v>2019</v>
      </c>
      <c r="N40" s="188">
        <v>0</v>
      </c>
      <c r="O40" s="188">
        <v>0</v>
      </c>
      <c r="P40" s="188">
        <v>3</v>
      </c>
      <c r="Q40" s="188">
        <v>1</v>
      </c>
      <c r="R40" s="188">
        <v>3</v>
      </c>
      <c r="S40" s="188">
        <v>1</v>
      </c>
      <c r="T40" s="188">
        <v>0</v>
      </c>
      <c r="U40" s="188">
        <v>0</v>
      </c>
      <c r="V40" s="188">
        <v>0</v>
      </c>
      <c r="W40" s="189" t="s">
        <v>125</v>
      </c>
      <c r="X40" s="189" t="s">
        <v>125</v>
      </c>
      <c r="Y40" s="189" t="s">
        <v>125</v>
      </c>
      <c r="Z40" s="188">
        <v>1160</v>
      </c>
      <c r="AA40" s="188">
        <v>1160</v>
      </c>
      <c r="AB40" s="188">
        <v>0</v>
      </c>
      <c r="AC40" s="188">
        <v>270997</v>
      </c>
      <c r="AD40" s="188">
        <v>0</v>
      </c>
      <c r="AE40" s="190">
        <v>270997</v>
      </c>
      <c r="AY40" s="192"/>
      <c r="AZ40" s="192"/>
    </row>
    <row r="41" spans="1:52" s="191" customFormat="1" ht="15" customHeight="1">
      <c r="A41" s="187" t="s">
        <v>157</v>
      </c>
      <c r="B41" s="188">
        <v>15289</v>
      </c>
      <c r="C41" s="188">
        <v>106</v>
      </c>
      <c r="D41" s="188">
        <v>13</v>
      </c>
      <c r="E41" s="188">
        <v>113066</v>
      </c>
      <c r="F41" s="188">
        <v>851</v>
      </c>
      <c r="G41" s="188">
        <v>190</v>
      </c>
      <c r="H41" s="188">
        <v>128355</v>
      </c>
      <c r="I41" s="188">
        <v>957</v>
      </c>
      <c r="J41" s="188">
        <v>203</v>
      </c>
      <c r="K41" s="188">
        <v>41324</v>
      </c>
      <c r="L41" s="188">
        <v>242923</v>
      </c>
      <c r="M41" s="188">
        <v>284247</v>
      </c>
      <c r="N41" s="188">
        <v>280</v>
      </c>
      <c r="O41" s="188">
        <v>130</v>
      </c>
      <c r="P41" s="188">
        <v>2403</v>
      </c>
      <c r="Q41" s="188">
        <v>937</v>
      </c>
      <c r="R41" s="188">
        <v>2683</v>
      </c>
      <c r="S41" s="188">
        <v>1067</v>
      </c>
      <c r="T41" s="188">
        <v>16</v>
      </c>
      <c r="U41" s="188">
        <v>238</v>
      </c>
      <c r="V41" s="188">
        <v>254</v>
      </c>
      <c r="W41" s="189" t="s">
        <v>125</v>
      </c>
      <c r="X41" s="189" t="s">
        <v>125</v>
      </c>
      <c r="Y41" s="189" t="s">
        <v>125</v>
      </c>
      <c r="Z41" s="188">
        <v>135889</v>
      </c>
      <c r="AA41" s="188">
        <v>135889</v>
      </c>
      <c r="AB41" s="188">
        <v>0</v>
      </c>
      <c r="AC41" s="188">
        <v>38215446</v>
      </c>
      <c r="AD41" s="188">
        <v>127787</v>
      </c>
      <c r="AE41" s="190">
        <v>38343233</v>
      </c>
      <c r="AY41" s="192"/>
      <c r="AZ41" s="192"/>
    </row>
    <row r="42" spans="1:52" s="191" customFormat="1" ht="15" customHeight="1">
      <c r="A42" s="187" t="s">
        <v>158</v>
      </c>
      <c r="B42" s="188">
        <v>14148</v>
      </c>
      <c r="C42" s="188">
        <v>560</v>
      </c>
      <c r="D42" s="188">
        <v>8</v>
      </c>
      <c r="E42" s="188">
        <v>85127</v>
      </c>
      <c r="F42" s="188">
        <v>1081</v>
      </c>
      <c r="G42" s="188">
        <v>605</v>
      </c>
      <c r="H42" s="188">
        <v>99275</v>
      </c>
      <c r="I42" s="188">
        <v>1641</v>
      </c>
      <c r="J42" s="188">
        <v>613</v>
      </c>
      <c r="K42" s="188">
        <v>36350</v>
      </c>
      <c r="L42" s="188">
        <v>169164</v>
      </c>
      <c r="M42" s="188">
        <v>205514</v>
      </c>
      <c r="N42" s="188">
        <v>1291</v>
      </c>
      <c r="O42" s="188">
        <v>932</v>
      </c>
      <c r="P42" s="188">
        <v>2467</v>
      </c>
      <c r="Q42" s="188">
        <v>1511</v>
      </c>
      <c r="R42" s="188">
        <v>3758</v>
      </c>
      <c r="S42" s="188">
        <v>2443</v>
      </c>
      <c r="T42" s="188">
        <v>17</v>
      </c>
      <c r="U42" s="188">
        <v>811</v>
      </c>
      <c r="V42" s="188">
        <v>828</v>
      </c>
      <c r="W42" s="189" t="s">
        <v>125</v>
      </c>
      <c r="X42" s="189" t="s">
        <v>125</v>
      </c>
      <c r="Y42" s="189" t="s">
        <v>125</v>
      </c>
      <c r="Z42" s="188">
        <v>116893</v>
      </c>
      <c r="AA42" s="188">
        <v>116893</v>
      </c>
      <c r="AB42" s="188">
        <v>0</v>
      </c>
      <c r="AC42" s="188">
        <v>29987846</v>
      </c>
      <c r="AD42" s="188">
        <v>393781</v>
      </c>
      <c r="AE42" s="190">
        <v>30381627</v>
      </c>
      <c r="AY42" s="192"/>
      <c r="AZ42" s="192"/>
    </row>
    <row r="43" spans="1:52" s="191" customFormat="1" ht="15" customHeight="1">
      <c r="A43" s="187" t="s">
        <v>159</v>
      </c>
      <c r="B43" s="188">
        <v>239</v>
      </c>
      <c r="C43" s="188">
        <v>2</v>
      </c>
      <c r="D43" s="188">
        <v>0</v>
      </c>
      <c r="E43" s="188">
        <v>2186</v>
      </c>
      <c r="F43" s="188">
        <v>20</v>
      </c>
      <c r="G43" s="188">
        <v>0</v>
      </c>
      <c r="H43" s="188">
        <v>2425</v>
      </c>
      <c r="I43" s="188">
        <v>22</v>
      </c>
      <c r="J43" s="188">
        <v>0</v>
      </c>
      <c r="K43" s="188">
        <v>616</v>
      </c>
      <c r="L43" s="188">
        <v>4669</v>
      </c>
      <c r="M43" s="188">
        <v>5285</v>
      </c>
      <c r="N43" s="188">
        <v>3</v>
      </c>
      <c r="O43" s="188">
        <v>2</v>
      </c>
      <c r="P43" s="188">
        <v>51</v>
      </c>
      <c r="Q43" s="188">
        <v>23</v>
      </c>
      <c r="R43" s="188">
        <v>54</v>
      </c>
      <c r="S43" s="188">
        <v>25</v>
      </c>
      <c r="T43" s="188">
        <v>0</v>
      </c>
      <c r="U43" s="188">
        <v>0</v>
      </c>
      <c r="V43" s="188">
        <v>0</v>
      </c>
      <c r="W43" s="189" t="s">
        <v>125</v>
      </c>
      <c r="X43" s="189" t="s">
        <v>125</v>
      </c>
      <c r="Y43" s="189" t="s">
        <v>125</v>
      </c>
      <c r="Z43" s="188">
        <v>2568</v>
      </c>
      <c r="AA43" s="188">
        <v>2568</v>
      </c>
      <c r="AB43" s="188">
        <v>0</v>
      </c>
      <c r="AC43" s="188">
        <v>683132</v>
      </c>
      <c r="AD43" s="188">
        <v>1861</v>
      </c>
      <c r="AE43" s="190">
        <v>684993</v>
      </c>
      <c r="AY43" s="192"/>
      <c r="AZ43" s="192"/>
    </row>
    <row r="44" spans="1:52" s="191" customFormat="1" ht="15" customHeight="1">
      <c r="A44" s="187" t="s">
        <v>160</v>
      </c>
      <c r="B44" s="188">
        <v>24511</v>
      </c>
      <c r="C44" s="188">
        <v>165</v>
      </c>
      <c r="D44" s="188">
        <v>5</v>
      </c>
      <c r="E44" s="188">
        <v>152742</v>
      </c>
      <c r="F44" s="188">
        <v>927</v>
      </c>
      <c r="G44" s="188">
        <v>373</v>
      </c>
      <c r="H44" s="188">
        <v>177253</v>
      </c>
      <c r="I44" s="188">
        <v>1092</v>
      </c>
      <c r="J44" s="188">
        <v>378</v>
      </c>
      <c r="K44" s="188">
        <v>64983</v>
      </c>
      <c r="L44" s="188">
        <v>321144</v>
      </c>
      <c r="M44" s="188">
        <v>386127</v>
      </c>
      <c r="N44" s="188">
        <v>424</v>
      </c>
      <c r="O44" s="188">
        <v>186</v>
      </c>
      <c r="P44" s="188">
        <v>2440</v>
      </c>
      <c r="Q44" s="188">
        <v>1096</v>
      </c>
      <c r="R44" s="188">
        <v>2864</v>
      </c>
      <c r="S44" s="188">
        <v>1282</v>
      </c>
      <c r="T44" s="188">
        <v>5</v>
      </c>
      <c r="U44" s="188">
        <v>487</v>
      </c>
      <c r="V44" s="188">
        <v>492</v>
      </c>
      <c r="W44" s="189" t="s">
        <v>125</v>
      </c>
      <c r="X44" s="189" t="s">
        <v>125</v>
      </c>
      <c r="Y44" s="189" t="s">
        <v>125</v>
      </c>
      <c r="Z44" s="188">
        <v>187269</v>
      </c>
      <c r="AA44" s="188">
        <v>187269</v>
      </c>
      <c r="AB44" s="188">
        <v>0</v>
      </c>
      <c r="AC44" s="188">
        <v>53193251</v>
      </c>
      <c r="AD44" s="188">
        <v>193253</v>
      </c>
      <c r="AE44" s="190">
        <v>53386504</v>
      </c>
      <c r="AY44" s="192"/>
      <c r="AZ44" s="192"/>
    </row>
    <row r="45" spans="1:52" s="191" customFormat="1" ht="15" customHeight="1">
      <c r="A45" s="187" t="s">
        <v>161</v>
      </c>
      <c r="B45" s="188">
        <v>12899</v>
      </c>
      <c r="C45" s="188">
        <v>298</v>
      </c>
      <c r="D45" s="188">
        <v>5</v>
      </c>
      <c r="E45" s="188">
        <v>125845</v>
      </c>
      <c r="F45" s="188">
        <v>1777</v>
      </c>
      <c r="G45" s="188">
        <v>797</v>
      </c>
      <c r="H45" s="188">
        <v>138744</v>
      </c>
      <c r="I45" s="188">
        <v>2075</v>
      </c>
      <c r="J45" s="188">
        <v>802</v>
      </c>
      <c r="K45" s="188">
        <v>35069</v>
      </c>
      <c r="L45" s="188">
        <v>241864</v>
      </c>
      <c r="M45" s="188">
        <v>276933</v>
      </c>
      <c r="N45" s="188">
        <v>653</v>
      </c>
      <c r="O45" s="188">
        <v>393</v>
      </c>
      <c r="P45" s="188">
        <v>4186</v>
      </c>
      <c r="Q45" s="188">
        <v>2052</v>
      </c>
      <c r="R45" s="188">
        <v>4839</v>
      </c>
      <c r="S45" s="188">
        <v>2445</v>
      </c>
      <c r="T45" s="188">
        <v>14</v>
      </c>
      <c r="U45" s="188">
        <v>995</v>
      </c>
      <c r="V45" s="188">
        <v>1009</v>
      </c>
      <c r="W45" s="189" t="s">
        <v>125</v>
      </c>
      <c r="X45" s="189" t="s">
        <v>125</v>
      </c>
      <c r="Y45" s="189" t="s">
        <v>125</v>
      </c>
      <c r="Z45" s="188">
        <v>167038</v>
      </c>
      <c r="AA45" s="188">
        <v>167038</v>
      </c>
      <c r="AB45" s="188">
        <v>0</v>
      </c>
      <c r="AC45" s="188">
        <v>37915292</v>
      </c>
      <c r="AD45" s="188">
        <v>387355</v>
      </c>
      <c r="AE45" s="190">
        <v>38302647</v>
      </c>
      <c r="AY45" s="192"/>
      <c r="AZ45" s="192"/>
    </row>
    <row r="46" spans="1:52" s="191" customFormat="1" ht="15" customHeight="1">
      <c r="A46" s="187" t="s">
        <v>162</v>
      </c>
      <c r="B46" s="188">
        <v>2093</v>
      </c>
      <c r="C46" s="188">
        <v>123</v>
      </c>
      <c r="D46" s="188">
        <v>8</v>
      </c>
      <c r="E46" s="188">
        <v>30624</v>
      </c>
      <c r="F46" s="188">
        <v>826</v>
      </c>
      <c r="G46" s="188">
        <v>1222</v>
      </c>
      <c r="H46" s="188">
        <v>32717</v>
      </c>
      <c r="I46" s="188">
        <v>949</v>
      </c>
      <c r="J46" s="188">
        <v>1230</v>
      </c>
      <c r="K46" s="188">
        <v>4499</v>
      </c>
      <c r="L46" s="188">
        <v>44157</v>
      </c>
      <c r="M46" s="188">
        <v>48656</v>
      </c>
      <c r="N46" s="188">
        <v>229</v>
      </c>
      <c r="O46" s="188">
        <v>147</v>
      </c>
      <c r="P46" s="188">
        <v>1537</v>
      </c>
      <c r="Q46" s="188">
        <v>1042</v>
      </c>
      <c r="R46" s="188">
        <v>1766</v>
      </c>
      <c r="S46" s="188">
        <v>1189</v>
      </c>
      <c r="T46" s="188">
        <v>15</v>
      </c>
      <c r="U46" s="188">
        <v>1231</v>
      </c>
      <c r="V46" s="188">
        <v>1246</v>
      </c>
      <c r="W46" s="189" t="s">
        <v>125</v>
      </c>
      <c r="X46" s="189" t="s">
        <v>125</v>
      </c>
      <c r="Y46" s="189" t="s">
        <v>125</v>
      </c>
      <c r="Z46" s="188">
        <v>38377</v>
      </c>
      <c r="AA46" s="188">
        <v>38377</v>
      </c>
      <c r="AB46" s="188">
        <v>0</v>
      </c>
      <c r="AC46" s="188">
        <v>7378018</v>
      </c>
      <c r="AD46" s="188">
        <v>334124</v>
      </c>
      <c r="AE46" s="190">
        <v>7712142</v>
      </c>
      <c r="AY46" s="192"/>
      <c r="AZ46" s="192"/>
    </row>
    <row r="47" spans="1:52" s="191" customFormat="1" ht="15" customHeight="1">
      <c r="A47" s="187" t="s">
        <v>163</v>
      </c>
      <c r="B47" s="188">
        <v>7056</v>
      </c>
      <c r="C47" s="188">
        <v>70</v>
      </c>
      <c r="D47" s="188">
        <v>0</v>
      </c>
      <c r="E47" s="188">
        <v>43479</v>
      </c>
      <c r="F47" s="188">
        <v>461</v>
      </c>
      <c r="G47" s="188">
        <v>159</v>
      </c>
      <c r="H47" s="188">
        <v>50535</v>
      </c>
      <c r="I47" s="188">
        <v>531</v>
      </c>
      <c r="J47" s="188">
        <v>159</v>
      </c>
      <c r="K47" s="188">
        <v>17610</v>
      </c>
      <c r="L47" s="188">
        <v>94876</v>
      </c>
      <c r="M47" s="188">
        <v>112486</v>
      </c>
      <c r="N47" s="188">
        <v>180</v>
      </c>
      <c r="O47" s="188">
        <v>85</v>
      </c>
      <c r="P47" s="188">
        <v>1310</v>
      </c>
      <c r="Q47" s="188">
        <v>572</v>
      </c>
      <c r="R47" s="188">
        <v>1490</v>
      </c>
      <c r="S47" s="188">
        <v>657</v>
      </c>
      <c r="T47" s="188">
        <v>0</v>
      </c>
      <c r="U47" s="188">
        <v>225</v>
      </c>
      <c r="V47" s="188">
        <v>225</v>
      </c>
      <c r="W47" s="189" t="s">
        <v>125</v>
      </c>
      <c r="X47" s="189" t="s">
        <v>125</v>
      </c>
      <c r="Y47" s="189" t="s">
        <v>125</v>
      </c>
      <c r="Z47" s="188">
        <v>53527</v>
      </c>
      <c r="AA47" s="188">
        <v>53527</v>
      </c>
      <c r="AB47" s="188">
        <v>0</v>
      </c>
      <c r="AC47" s="188">
        <v>15259355</v>
      </c>
      <c r="AD47" s="188">
        <v>92059</v>
      </c>
      <c r="AE47" s="190">
        <v>15351414</v>
      </c>
      <c r="AY47" s="192"/>
      <c r="AZ47" s="192"/>
    </row>
    <row r="48" spans="1:52" s="191" customFormat="1" ht="15" customHeight="1">
      <c r="A48" s="187" t="s">
        <v>164</v>
      </c>
      <c r="B48" s="188">
        <v>855</v>
      </c>
      <c r="C48" s="188">
        <v>5</v>
      </c>
      <c r="D48" s="188">
        <v>0</v>
      </c>
      <c r="E48" s="188">
        <v>8935</v>
      </c>
      <c r="F48" s="188">
        <v>42</v>
      </c>
      <c r="G48" s="188">
        <v>6</v>
      </c>
      <c r="H48" s="188">
        <v>9790</v>
      </c>
      <c r="I48" s="188">
        <v>47</v>
      </c>
      <c r="J48" s="188">
        <v>6</v>
      </c>
      <c r="K48" s="188">
        <v>2109</v>
      </c>
      <c r="L48" s="188">
        <v>15544</v>
      </c>
      <c r="M48" s="188">
        <v>17653</v>
      </c>
      <c r="N48" s="188">
        <v>19</v>
      </c>
      <c r="O48" s="188">
        <v>6</v>
      </c>
      <c r="P48" s="188">
        <v>97</v>
      </c>
      <c r="Q48" s="188">
        <v>52</v>
      </c>
      <c r="R48" s="188">
        <v>116</v>
      </c>
      <c r="S48" s="188">
        <v>58</v>
      </c>
      <c r="T48" s="188">
        <v>0</v>
      </c>
      <c r="U48" s="188">
        <v>7</v>
      </c>
      <c r="V48" s="188">
        <v>7</v>
      </c>
      <c r="W48" s="189" t="s">
        <v>125</v>
      </c>
      <c r="X48" s="189" t="s">
        <v>125</v>
      </c>
      <c r="Y48" s="189" t="s">
        <v>125</v>
      </c>
      <c r="Z48" s="188">
        <v>10345</v>
      </c>
      <c r="AA48" s="188">
        <v>10345</v>
      </c>
      <c r="AB48" s="188">
        <v>0</v>
      </c>
      <c r="AC48" s="188">
        <v>2391412</v>
      </c>
      <c r="AD48" s="188">
        <v>4682</v>
      </c>
      <c r="AE48" s="190">
        <v>2396094</v>
      </c>
      <c r="AY48" s="192"/>
      <c r="AZ48" s="192"/>
    </row>
    <row r="49" spans="1:52" s="191" customFormat="1" ht="15" customHeight="1">
      <c r="A49" s="187" t="s">
        <v>165</v>
      </c>
      <c r="B49" s="188">
        <v>821</v>
      </c>
      <c r="C49" s="188">
        <v>28</v>
      </c>
      <c r="D49" s="188">
        <v>1</v>
      </c>
      <c r="E49" s="188">
        <v>13390</v>
      </c>
      <c r="F49" s="188">
        <v>435</v>
      </c>
      <c r="G49" s="188">
        <v>165</v>
      </c>
      <c r="H49" s="188">
        <v>14211</v>
      </c>
      <c r="I49" s="188">
        <v>463</v>
      </c>
      <c r="J49" s="188">
        <v>166</v>
      </c>
      <c r="K49" s="188">
        <v>1941</v>
      </c>
      <c r="L49" s="188">
        <v>24945</v>
      </c>
      <c r="M49" s="188">
        <v>26886</v>
      </c>
      <c r="N49" s="188">
        <v>69</v>
      </c>
      <c r="O49" s="188">
        <v>33</v>
      </c>
      <c r="P49" s="188">
        <v>1037</v>
      </c>
      <c r="Q49" s="188">
        <v>534</v>
      </c>
      <c r="R49" s="188">
        <v>1106</v>
      </c>
      <c r="S49" s="188">
        <v>567</v>
      </c>
      <c r="T49" s="188">
        <v>1</v>
      </c>
      <c r="U49" s="188">
        <v>218</v>
      </c>
      <c r="V49" s="188">
        <v>219</v>
      </c>
      <c r="W49" s="189" t="s">
        <v>125</v>
      </c>
      <c r="X49" s="189" t="s">
        <v>125</v>
      </c>
      <c r="Y49" s="189" t="s">
        <v>125</v>
      </c>
      <c r="Z49" s="188">
        <v>17465</v>
      </c>
      <c r="AA49" s="188">
        <v>17465</v>
      </c>
      <c r="AB49" s="188">
        <v>0</v>
      </c>
      <c r="AC49" s="188">
        <v>3728697</v>
      </c>
      <c r="AD49" s="188">
        <v>79695</v>
      </c>
      <c r="AE49" s="190">
        <v>3808392</v>
      </c>
      <c r="AY49" s="192"/>
      <c r="AZ49" s="192"/>
    </row>
    <row r="50" spans="1:52" s="191" customFormat="1" ht="15" customHeight="1">
      <c r="A50" s="187" t="s">
        <v>166</v>
      </c>
      <c r="B50" s="188">
        <v>1949</v>
      </c>
      <c r="C50" s="188">
        <v>18</v>
      </c>
      <c r="D50" s="188">
        <v>0</v>
      </c>
      <c r="E50" s="188">
        <v>15833</v>
      </c>
      <c r="F50" s="188">
        <v>115</v>
      </c>
      <c r="G50" s="188">
        <v>71</v>
      </c>
      <c r="H50" s="188">
        <v>17782</v>
      </c>
      <c r="I50" s="188">
        <v>133</v>
      </c>
      <c r="J50" s="188">
        <v>71</v>
      </c>
      <c r="K50" s="188">
        <v>5058</v>
      </c>
      <c r="L50" s="188">
        <v>31602</v>
      </c>
      <c r="M50" s="188">
        <v>36660</v>
      </c>
      <c r="N50" s="188">
        <v>40</v>
      </c>
      <c r="O50" s="188">
        <v>19</v>
      </c>
      <c r="P50" s="188">
        <v>309</v>
      </c>
      <c r="Q50" s="188">
        <v>122</v>
      </c>
      <c r="R50" s="188">
        <v>349</v>
      </c>
      <c r="S50" s="188">
        <v>141</v>
      </c>
      <c r="T50" s="188">
        <v>0</v>
      </c>
      <c r="U50" s="188">
        <v>89</v>
      </c>
      <c r="V50" s="188">
        <v>89</v>
      </c>
      <c r="W50" s="189" t="s">
        <v>125</v>
      </c>
      <c r="X50" s="189" t="s">
        <v>125</v>
      </c>
      <c r="Y50" s="189" t="s">
        <v>125</v>
      </c>
      <c r="Z50" s="188">
        <v>21360</v>
      </c>
      <c r="AA50" s="188">
        <v>21360</v>
      </c>
      <c r="AB50" s="188">
        <v>0</v>
      </c>
      <c r="AC50" s="188">
        <v>4867440</v>
      </c>
      <c r="AD50" s="188">
        <v>26788</v>
      </c>
      <c r="AE50" s="190">
        <v>4894228</v>
      </c>
      <c r="AY50" s="192"/>
      <c r="AZ50" s="192"/>
    </row>
    <row r="51" spans="1:52" s="191" customFormat="1" ht="15" customHeight="1">
      <c r="A51" s="187" t="s">
        <v>167</v>
      </c>
      <c r="B51" s="188">
        <v>4293</v>
      </c>
      <c r="C51" s="188">
        <v>112</v>
      </c>
      <c r="D51" s="188">
        <v>3</v>
      </c>
      <c r="E51" s="188">
        <v>46203</v>
      </c>
      <c r="F51" s="188">
        <v>858</v>
      </c>
      <c r="G51" s="188">
        <v>664</v>
      </c>
      <c r="H51" s="188">
        <v>50496</v>
      </c>
      <c r="I51" s="188">
        <v>970</v>
      </c>
      <c r="J51" s="188">
        <v>667</v>
      </c>
      <c r="K51" s="188">
        <v>10353</v>
      </c>
      <c r="L51" s="188">
        <v>87709</v>
      </c>
      <c r="M51" s="188">
        <v>98062</v>
      </c>
      <c r="N51" s="188">
        <v>223</v>
      </c>
      <c r="O51" s="188">
        <v>132</v>
      </c>
      <c r="P51" s="188">
        <v>1817</v>
      </c>
      <c r="Q51" s="188">
        <v>1115</v>
      </c>
      <c r="R51" s="188">
        <v>2040</v>
      </c>
      <c r="S51" s="188">
        <v>1247</v>
      </c>
      <c r="T51" s="188">
        <v>4</v>
      </c>
      <c r="U51" s="188">
        <v>975</v>
      </c>
      <c r="V51" s="188">
        <v>979</v>
      </c>
      <c r="W51" s="189" t="s">
        <v>125</v>
      </c>
      <c r="X51" s="189" t="s">
        <v>125</v>
      </c>
      <c r="Y51" s="189" t="s">
        <v>125</v>
      </c>
      <c r="Z51" s="188">
        <v>54408</v>
      </c>
      <c r="AA51" s="188">
        <v>54408</v>
      </c>
      <c r="AB51" s="188">
        <v>0</v>
      </c>
      <c r="AC51" s="188">
        <v>13580941</v>
      </c>
      <c r="AD51" s="188">
        <v>262019</v>
      </c>
      <c r="AE51" s="190">
        <v>13842960</v>
      </c>
      <c r="AY51" s="192"/>
      <c r="AZ51" s="192"/>
    </row>
    <row r="52" spans="1:52" s="191" customFormat="1" ht="15" customHeight="1">
      <c r="A52" s="187" t="s">
        <v>168</v>
      </c>
      <c r="B52" s="188">
        <v>1014</v>
      </c>
      <c r="C52" s="188">
        <v>4</v>
      </c>
      <c r="D52" s="188">
        <v>0</v>
      </c>
      <c r="E52" s="188">
        <v>13139</v>
      </c>
      <c r="F52" s="188">
        <v>45</v>
      </c>
      <c r="G52" s="188">
        <v>11</v>
      </c>
      <c r="H52" s="188">
        <v>14153</v>
      </c>
      <c r="I52" s="188">
        <v>49</v>
      </c>
      <c r="J52" s="188">
        <v>11</v>
      </c>
      <c r="K52" s="188">
        <v>2492</v>
      </c>
      <c r="L52" s="188">
        <v>23063</v>
      </c>
      <c r="M52" s="188">
        <v>25555</v>
      </c>
      <c r="N52" s="188">
        <v>10</v>
      </c>
      <c r="O52" s="188">
        <v>4</v>
      </c>
      <c r="P52" s="188">
        <v>97</v>
      </c>
      <c r="Q52" s="188">
        <v>51</v>
      </c>
      <c r="R52" s="188">
        <v>107</v>
      </c>
      <c r="S52" s="188">
        <v>55</v>
      </c>
      <c r="T52" s="188">
        <v>0</v>
      </c>
      <c r="U52" s="188">
        <v>15</v>
      </c>
      <c r="V52" s="188">
        <v>15</v>
      </c>
      <c r="W52" s="189" t="s">
        <v>125</v>
      </c>
      <c r="X52" s="189" t="s">
        <v>125</v>
      </c>
      <c r="Y52" s="189" t="s">
        <v>125</v>
      </c>
      <c r="Z52" s="188">
        <v>16304</v>
      </c>
      <c r="AA52" s="188">
        <v>16304</v>
      </c>
      <c r="AB52" s="188">
        <v>0</v>
      </c>
      <c r="AC52" s="188">
        <v>3388845</v>
      </c>
      <c r="AD52" s="188">
        <v>6473</v>
      </c>
      <c r="AE52" s="190">
        <v>3395318</v>
      </c>
      <c r="AY52" s="192"/>
      <c r="AZ52" s="192"/>
    </row>
    <row r="53" spans="1:52" s="191" customFormat="1" ht="15" customHeight="1">
      <c r="A53" s="187" t="s">
        <v>169</v>
      </c>
      <c r="B53" s="188">
        <v>1270</v>
      </c>
      <c r="C53" s="188">
        <v>2</v>
      </c>
      <c r="D53" s="188">
        <v>0</v>
      </c>
      <c r="E53" s="188">
        <v>11650</v>
      </c>
      <c r="F53" s="188">
        <v>26</v>
      </c>
      <c r="G53" s="188">
        <v>18</v>
      </c>
      <c r="H53" s="188">
        <v>12920</v>
      </c>
      <c r="I53" s="188">
        <v>28</v>
      </c>
      <c r="J53" s="188">
        <v>18</v>
      </c>
      <c r="K53" s="188">
        <v>3049</v>
      </c>
      <c r="L53" s="188">
        <v>21058</v>
      </c>
      <c r="M53" s="188">
        <v>24107</v>
      </c>
      <c r="N53" s="188">
        <v>2</v>
      </c>
      <c r="O53" s="188">
        <v>2</v>
      </c>
      <c r="P53" s="188">
        <v>62</v>
      </c>
      <c r="Q53" s="188">
        <v>29</v>
      </c>
      <c r="R53" s="188">
        <v>64</v>
      </c>
      <c r="S53" s="188">
        <v>31</v>
      </c>
      <c r="T53" s="188">
        <v>0</v>
      </c>
      <c r="U53" s="188">
        <v>19</v>
      </c>
      <c r="V53" s="188">
        <v>19</v>
      </c>
      <c r="W53" s="189" t="s">
        <v>125</v>
      </c>
      <c r="X53" s="189" t="s">
        <v>125</v>
      </c>
      <c r="Y53" s="189" t="s">
        <v>125</v>
      </c>
      <c r="Z53" s="188">
        <v>13716</v>
      </c>
      <c r="AA53" s="188">
        <v>13716</v>
      </c>
      <c r="AB53" s="188">
        <v>0</v>
      </c>
      <c r="AC53" s="188">
        <v>3184725</v>
      </c>
      <c r="AD53" s="188">
        <v>5792</v>
      </c>
      <c r="AE53" s="190">
        <v>3190517</v>
      </c>
      <c r="AY53" s="192"/>
      <c r="AZ53" s="192"/>
    </row>
    <row r="54" spans="1:52" s="191" customFormat="1" ht="15" customHeight="1">
      <c r="A54" s="187" t="s">
        <v>170</v>
      </c>
      <c r="B54" s="188">
        <v>11</v>
      </c>
      <c r="C54" s="188">
        <v>0</v>
      </c>
      <c r="D54" s="188">
        <v>0</v>
      </c>
      <c r="E54" s="188">
        <v>147</v>
      </c>
      <c r="F54" s="188">
        <v>0</v>
      </c>
      <c r="G54" s="188">
        <v>0</v>
      </c>
      <c r="H54" s="188">
        <v>158</v>
      </c>
      <c r="I54" s="188">
        <v>0</v>
      </c>
      <c r="J54" s="188">
        <v>0</v>
      </c>
      <c r="K54" s="188">
        <v>32</v>
      </c>
      <c r="L54" s="188">
        <v>239</v>
      </c>
      <c r="M54" s="188">
        <v>271</v>
      </c>
      <c r="N54" s="188">
        <v>0</v>
      </c>
      <c r="O54" s="188">
        <v>0</v>
      </c>
      <c r="P54" s="188">
        <v>0</v>
      </c>
      <c r="Q54" s="188">
        <v>0</v>
      </c>
      <c r="R54" s="188">
        <v>0</v>
      </c>
      <c r="S54" s="188">
        <v>0</v>
      </c>
      <c r="T54" s="188">
        <v>0</v>
      </c>
      <c r="U54" s="188">
        <v>0</v>
      </c>
      <c r="V54" s="188">
        <v>0</v>
      </c>
      <c r="W54" s="189" t="s">
        <v>125</v>
      </c>
      <c r="X54" s="189" t="s">
        <v>125</v>
      </c>
      <c r="Y54" s="189" t="s">
        <v>125</v>
      </c>
      <c r="Z54" s="188">
        <v>164</v>
      </c>
      <c r="AA54" s="188">
        <v>164</v>
      </c>
      <c r="AB54" s="188">
        <v>0</v>
      </c>
      <c r="AC54" s="188">
        <v>34088</v>
      </c>
      <c r="AD54" s="188">
        <v>0</v>
      </c>
      <c r="AE54" s="190">
        <v>34088</v>
      </c>
      <c r="AY54" s="192"/>
      <c r="AZ54" s="192"/>
    </row>
    <row r="55" spans="1:52" s="191" customFormat="1" ht="15" customHeight="1">
      <c r="A55" s="187" t="s">
        <v>171</v>
      </c>
      <c r="B55" s="188">
        <v>350</v>
      </c>
      <c r="C55" s="188">
        <v>1</v>
      </c>
      <c r="D55" s="188">
        <v>0</v>
      </c>
      <c r="E55" s="188">
        <v>2772</v>
      </c>
      <c r="F55" s="188">
        <v>5</v>
      </c>
      <c r="G55" s="188">
        <v>1</v>
      </c>
      <c r="H55" s="188">
        <v>3122</v>
      </c>
      <c r="I55" s="188">
        <v>6</v>
      </c>
      <c r="J55" s="188">
        <v>1</v>
      </c>
      <c r="K55" s="188">
        <v>951</v>
      </c>
      <c r="L55" s="188">
        <v>5601</v>
      </c>
      <c r="M55" s="188">
        <v>6552</v>
      </c>
      <c r="N55" s="188">
        <v>2</v>
      </c>
      <c r="O55" s="188">
        <v>1</v>
      </c>
      <c r="P55" s="188">
        <v>18</v>
      </c>
      <c r="Q55" s="188">
        <v>6</v>
      </c>
      <c r="R55" s="188">
        <v>20</v>
      </c>
      <c r="S55" s="188">
        <v>7</v>
      </c>
      <c r="T55" s="188">
        <v>0</v>
      </c>
      <c r="U55" s="188">
        <v>2</v>
      </c>
      <c r="V55" s="188">
        <v>2</v>
      </c>
      <c r="W55" s="189" t="s">
        <v>125</v>
      </c>
      <c r="X55" s="189" t="s">
        <v>125</v>
      </c>
      <c r="Y55" s="189" t="s">
        <v>125</v>
      </c>
      <c r="Z55" s="188">
        <v>3350</v>
      </c>
      <c r="AA55" s="188">
        <v>3350</v>
      </c>
      <c r="AB55" s="188">
        <v>0</v>
      </c>
      <c r="AC55" s="188">
        <v>882562</v>
      </c>
      <c r="AD55" s="188">
        <v>796</v>
      </c>
      <c r="AE55" s="190">
        <v>883358</v>
      </c>
      <c r="AY55" s="192"/>
      <c r="AZ55" s="192"/>
    </row>
    <row r="56" spans="1:52" s="191" customFormat="1" ht="15" customHeight="1">
      <c r="A56" s="187" t="s">
        <v>172</v>
      </c>
      <c r="B56" s="188">
        <v>2521</v>
      </c>
      <c r="C56" s="188">
        <v>23</v>
      </c>
      <c r="D56" s="188">
        <v>0</v>
      </c>
      <c r="E56" s="188">
        <v>19368</v>
      </c>
      <c r="F56" s="188">
        <v>170</v>
      </c>
      <c r="G56" s="188">
        <v>67</v>
      </c>
      <c r="H56" s="188">
        <v>21889</v>
      </c>
      <c r="I56" s="188">
        <v>193</v>
      </c>
      <c r="J56" s="188">
        <v>67</v>
      </c>
      <c r="K56" s="188">
        <v>5984</v>
      </c>
      <c r="L56" s="188">
        <v>35197</v>
      </c>
      <c r="M56" s="188">
        <v>41181</v>
      </c>
      <c r="N56" s="188">
        <v>53</v>
      </c>
      <c r="O56" s="188">
        <v>31</v>
      </c>
      <c r="P56" s="188">
        <v>390</v>
      </c>
      <c r="Q56" s="188">
        <v>193</v>
      </c>
      <c r="R56" s="188">
        <v>443</v>
      </c>
      <c r="S56" s="188">
        <v>224</v>
      </c>
      <c r="T56" s="188">
        <v>0</v>
      </c>
      <c r="U56" s="188">
        <v>91</v>
      </c>
      <c r="V56" s="188">
        <v>91</v>
      </c>
      <c r="W56" s="189" t="s">
        <v>125</v>
      </c>
      <c r="X56" s="189" t="s">
        <v>125</v>
      </c>
      <c r="Y56" s="189" t="s">
        <v>125</v>
      </c>
      <c r="Z56" s="188">
        <v>23389</v>
      </c>
      <c r="AA56" s="188">
        <v>23389</v>
      </c>
      <c r="AB56" s="188">
        <v>0</v>
      </c>
      <c r="AC56" s="188">
        <v>5885395</v>
      </c>
      <c r="AD56" s="188">
        <v>40998</v>
      </c>
      <c r="AE56" s="190">
        <v>5926393</v>
      </c>
      <c r="AY56" s="192"/>
      <c r="AZ56" s="192"/>
    </row>
    <row r="57" spans="1:52" s="191" customFormat="1" ht="15" customHeight="1">
      <c r="A57" s="187" t="s">
        <v>173</v>
      </c>
      <c r="B57" s="188">
        <v>1391</v>
      </c>
      <c r="C57" s="188">
        <v>41</v>
      </c>
      <c r="D57" s="188">
        <v>2</v>
      </c>
      <c r="E57" s="188">
        <v>16812</v>
      </c>
      <c r="F57" s="188">
        <v>218</v>
      </c>
      <c r="G57" s="188">
        <v>65</v>
      </c>
      <c r="H57" s="188">
        <v>18203</v>
      </c>
      <c r="I57" s="188">
        <v>259</v>
      </c>
      <c r="J57" s="188">
        <v>67</v>
      </c>
      <c r="K57" s="188">
        <v>3275</v>
      </c>
      <c r="L57" s="188">
        <v>28579</v>
      </c>
      <c r="M57" s="188">
        <v>31854</v>
      </c>
      <c r="N57" s="188">
        <v>101</v>
      </c>
      <c r="O57" s="188">
        <v>45</v>
      </c>
      <c r="P57" s="188">
        <v>526</v>
      </c>
      <c r="Q57" s="188">
        <v>240</v>
      </c>
      <c r="R57" s="188">
        <v>627</v>
      </c>
      <c r="S57" s="188">
        <v>285</v>
      </c>
      <c r="T57" s="188">
        <v>2</v>
      </c>
      <c r="U57" s="188">
        <v>83</v>
      </c>
      <c r="V57" s="188">
        <v>85</v>
      </c>
      <c r="W57" s="189" t="s">
        <v>125</v>
      </c>
      <c r="X57" s="189" t="s">
        <v>125</v>
      </c>
      <c r="Y57" s="189" t="s">
        <v>125</v>
      </c>
      <c r="Z57" s="188">
        <v>20960</v>
      </c>
      <c r="AA57" s="188">
        <v>20960</v>
      </c>
      <c r="AB57" s="188">
        <v>0</v>
      </c>
      <c r="AC57" s="188">
        <v>4313175</v>
      </c>
      <c r="AD57" s="188">
        <v>34493</v>
      </c>
      <c r="AE57" s="190">
        <v>4347668</v>
      </c>
      <c r="AY57" s="192"/>
      <c r="AZ57" s="192"/>
    </row>
    <row r="58" spans="1:52" s="191" customFormat="1" ht="15" customHeight="1">
      <c r="A58" s="187" t="s">
        <v>174</v>
      </c>
      <c r="B58" s="188">
        <v>5491</v>
      </c>
      <c r="C58" s="188">
        <v>32</v>
      </c>
      <c r="D58" s="188">
        <v>1</v>
      </c>
      <c r="E58" s="188">
        <v>35764</v>
      </c>
      <c r="F58" s="188">
        <v>181</v>
      </c>
      <c r="G58" s="188">
        <v>30</v>
      </c>
      <c r="H58" s="188">
        <v>41255</v>
      </c>
      <c r="I58" s="188">
        <v>213</v>
      </c>
      <c r="J58" s="188">
        <v>31</v>
      </c>
      <c r="K58" s="188">
        <v>14155</v>
      </c>
      <c r="L58" s="188">
        <v>72043</v>
      </c>
      <c r="M58" s="188">
        <v>86198</v>
      </c>
      <c r="N58" s="188">
        <v>93</v>
      </c>
      <c r="O58" s="188">
        <v>36</v>
      </c>
      <c r="P58" s="188">
        <v>509</v>
      </c>
      <c r="Q58" s="188">
        <v>218</v>
      </c>
      <c r="R58" s="188">
        <v>602</v>
      </c>
      <c r="S58" s="188">
        <v>254</v>
      </c>
      <c r="T58" s="188">
        <v>1</v>
      </c>
      <c r="U58" s="188">
        <v>38</v>
      </c>
      <c r="V58" s="188">
        <v>39</v>
      </c>
      <c r="W58" s="189" t="s">
        <v>125</v>
      </c>
      <c r="X58" s="189" t="s">
        <v>125</v>
      </c>
      <c r="Y58" s="189" t="s">
        <v>125</v>
      </c>
      <c r="Z58" s="188">
        <v>43264</v>
      </c>
      <c r="AA58" s="188">
        <v>43264</v>
      </c>
      <c r="AB58" s="188">
        <v>0</v>
      </c>
      <c r="AC58" s="188">
        <v>11671615</v>
      </c>
      <c r="AD58" s="188">
        <v>25185</v>
      </c>
      <c r="AE58" s="190">
        <v>11696800</v>
      </c>
      <c r="AY58" s="192"/>
      <c r="AZ58" s="192"/>
    </row>
    <row r="59" spans="1:52" s="191" customFormat="1" ht="15" customHeight="1">
      <c r="A59" s="187" t="s">
        <v>175</v>
      </c>
      <c r="B59" s="188">
        <v>642</v>
      </c>
      <c r="C59" s="188">
        <v>15</v>
      </c>
      <c r="D59" s="188">
        <v>0</v>
      </c>
      <c r="E59" s="188">
        <v>4897</v>
      </c>
      <c r="F59" s="188">
        <v>50</v>
      </c>
      <c r="G59" s="188">
        <v>11</v>
      </c>
      <c r="H59" s="188">
        <v>5539</v>
      </c>
      <c r="I59" s="188">
        <v>65</v>
      </c>
      <c r="J59" s="188">
        <v>11</v>
      </c>
      <c r="K59" s="188">
        <v>1778</v>
      </c>
      <c r="L59" s="188">
        <v>10804</v>
      </c>
      <c r="M59" s="188">
        <v>12582</v>
      </c>
      <c r="N59" s="188">
        <v>42</v>
      </c>
      <c r="O59" s="188">
        <v>15</v>
      </c>
      <c r="P59" s="188">
        <v>140</v>
      </c>
      <c r="Q59" s="188">
        <v>63</v>
      </c>
      <c r="R59" s="188">
        <v>182</v>
      </c>
      <c r="S59" s="188">
        <v>78</v>
      </c>
      <c r="T59" s="188">
        <v>0</v>
      </c>
      <c r="U59" s="188">
        <v>14</v>
      </c>
      <c r="V59" s="188">
        <v>14</v>
      </c>
      <c r="W59" s="189" t="s">
        <v>125</v>
      </c>
      <c r="X59" s="189" t="s">
        <v>125</v>
      </c>
      <c r="Y59" s="189" t="s">
        <v>125</v>
      </c>
      <c r="Z59" s="188">
        <v>5915</v>
      </c>
      <c r="AA59" s="188">
        <v>5915</v>
      </c>
      <c r="AB59" s="188">
        <v>0</v>
      </c>
      <c r="AC59" s="188">
        <v>1690417</v>
      </c>
      <c r="AD59" s="188">
        <v>7768</v>
      </c>
      <c r="AE59" s="190">
        <v>1698185</v>
      </c>
      <c r="AY59" s="192"/>
      <c r="AZ59" s="192"/>
    </row>
    <row r="60" spans="1:52" s="191" customFormat="1" ht="15" customHeight="1">
      <c r="A60" s="187" t="s">
        <v>176</v>
      </c>
      <c r="B60" s="188">
        <v>510</v>
      </c>
      <c r="C60" s="188">
        <v>2</v>
      </c>
      <c r="D60" s="188">
        <v>0</v>
      </c>
      <c r="E60" s="188">
        <v>3945</v>
      </c>
      <c r="F60" s="188">
        <v>38</v>
      </c>
      <c r="G60" s="188">
        <v>2</v>
      </c>
      <c r="H60" s="188">
        <v>4455</v>
      </c>
      <c r="I60" s="188">
        <v>40</v>
      </c>
      <c r="J60" s="188">
        <v>2</v>
      </c>
      <c r="K60" s="188">
        <v>1343</v>
      </c>
      <c r="L60" s="188">
        <v>8265</v>
      </c>
      <c r="M60" s="188">
        <v>9608</v>
      </c>
      <c r="N60" s="188">
        <v>5</v>
      </c>
      <c r="O60" s="188">
        <v>2</v>
      </c>
      <c r="P60" s="188">
        <v>113</v>
      </c>
      <c r="Q60" s="188">
        <v>50</v>
      </c>
      <c r="R60" s="188">
        <v>118</v>
      </c>
      <c r="S60" s="188">
        <v>52</v>
      </c>
      <c r="T60" s="188">
        <v>0</v>
      </c>
      <c r="U60" s="188">
        <v>2</v>
      </c>
      <c r="V60" s="188">
        <v>2</v>
      </c>
      <c r="W60" s="189" t="s">
        <v>125</v>
      </c>
      <c r="X60" s="189" t="s">
        <v>125</v>
      </c>
      <c r="Y60" s="189" t="s">
        <v>125</v>
      </c>
      <c r="Z60" s="188">
        <v>4713</v>
      </c>
      <c r="AA60" s="188">
        <v>4713</v>
      </c>
      <c r="AB60" s="188">
        <v>0</v>
      </c>
      <c r="AC60" s="188">
        <v>1248815</v>
      </c>
      <c r="AD60" s="188">
        <v>6849</v>
      </c>
      <c r="AE60" s="190">
        <v>1255664</v>
      </c>
      <c r="AY60" s="192"/>
      <c r="AZ60" s="192"/>
    </row>
    <row r="61" spans="1:52" s="191" customFormat="1" ht="15" customHeight="1">
      <c r="A61" s="187" t="s">
        <v>177</v>
      </c>
      <c r="B61" s="188">
        <v>58</v>
      </c>
      <c r="C61" s="188">
        <v>0</v>
      </c>
      <c r="D61" s="188">
        <v>0</v>
      </c>
      <c r="E61" s="188">
        <v>964</v>
      </c>
      <c r="F61" s="188">
        <v>1</v>
      </c>
      <c r="G61" s="188">
        <v>0</v>
      </c>
      <c r="H61" s="188">
        <v>1022</v>
      </c>
      <c r="I61" s="188">
        <v>1</v>
      </c>
      <c r="J61" s="188">
        <v>0</v>
      </c>
      <c r="K61" s="188">
        <v>151</v>
      </c>
      <c r="L61" s="188">
        <v>1628</v>
      </c>
      <c r="M61" s="188">
        <v>1779</v>
      </c>
      <c r="N61" s="188">
        <v>0</v>
      </c>
      <c r="O61" s="188">
        <v>0</v>
      </c>
      <c r="P61" s="188">
        <v>2</v>
      </c>
      <c r="Q61" s="188">
        <v>1</v>
      </c>
      <c r="R61" s="188">
        <v>2</v>
      </c>
      <c r="S61" s="188">
        <v>1</v>
      </c>
      <c r="T61" s="188">
        <v>0</v>
      </c>
      <c r="U61" s="188">
        <v>0</v>
      </c>
      <c r="V61" s="188">
        <v>0</v>
      </c>
      <c r="W61" s="189" t="s">
        <v>125</v>
      </c>
      <c r="X61" s="189" t="s">
        <v>125</v>
      </c>
      <c r="Y61" s="189" t="s">
        <v>125</v>
      </c>
      <c r="Z61" s="188">
        <v>1123</v>
      </c>
      <c r="AA61" s="188">
        <v>1123</v>
      </c>
      <c r="AB61" s="188">
        <v>0</v>
      </c>
      <c r="AC61" s="188">
        <v>253149</v>
      </c>
      <c r="AD61" s="188">
        <v>383</v>
      </c>
      <c r="AE61" s="190">
        <v>253532</v>
      </c>
      <c r="AY61" s="192"/>
      <c r="AZ61" s="192"/>
    </row>
    <row r="62" spans="1:52" s="191" customFormat="1" ht="15" customHeight="1">
      <c r="A62" s="187" t="s">
        <v>178</v>
      </c>
      <c r="B62" s="188">
        <v>7413</v>
      </c>
      <c r="C62" s="188">
        <v>41</v>
      </c>
      <c r="D62" s="188">
        <v>2</v>
      </c>
      <c r="E62" s="188">
        <v>43117</v>
      </c>
      <c r="F62" s="188">
        <v>764</v>
      </c>
      <c r="G62" s="188">
        <v>209</v>
      </c>
      <c r="H62" s="188">
        <v>50530</v>
      </c>
      <c r="I62" s="188">
        <v>805</v>
      </c>
      <c r="J62" s="188">
        <v>211</v>
      </c>
      <c r="K62" s="188">
        <v>20300</v>
      </c>
      <c r="L62" s="188">
        <v>96412</v>
      </c>
      <c r="M62" s="188">
        <v>116712</v>
      </c>
      <c r="N62" s="188">
        <v>114</v>
      </c>
      <c r="O62" s="188">
        <v>50</v>
      </c>
      <c r="P62" s="188">
        <v>2102</v>
      </c>
      <c r="Q62" s="188">
        <v>848</v>
      </c>
      <c r="R62" s="188">
        <v>2216</v>
      </c>
      <c r="S62" s="188">
        <v>898</v>
      </c>
      <c r="T62" s="188">
        <v>2</v>
      </c>
      <c r="U62" s="188">
        <v>260</v>
      </c>
      <c r="V62" s="188">
        <v>262</v>
      </c>
      <c r="W62" s="189" t="s">
        <v>125</v>
      </c>
      <c r="X62" s="189" t="s">
        <v>125</v>
      </c>
      <c r="Y62" s="189" t="s">
        <v>125</v>
      </c>
      <c r="Z62" s="188">
        <v>60121</v>
      </c>
      <c r="AA62" s="188">
        <v>60121</v>
      </c>
      <c r="AB62" s="188">
        <v>0</v>
      </c>
      <c r="AC62" s="188">
        <v>16065340</v>
      </c>
      <c r="AD62" s="188">
        <v>128724</v>
      </c>
      <c r="AE62" s="190">
        <v>16194064</v>
      </c>
      <c r="AY62" s="192"/>
      <c r="AZ62" s="192"/>
    </row>
    <row r="63" spans="1:52" s="191" customFormat="1" ht="15" customHeight="1">
      <c r="A63" s="187" t="s">
        <v>179</v>
      </c>
      <c r="B63" s="188">
        <v>283</v>
      </c>
      <c r="C63" s="188">
        <v>2</v>
      </c>
      <c r="D63" s="188">
        <v>0</v>
      </c>
      <c r="E63" s="188">
        <v>2842</v>
      </c>
      <c r="F63" s="188">
        <v>4</v>
      </c>
      <c r="G63" s="188">
        <v>2</v>
      </c>
      <c r="H63" s="188">
        <v>3125</v>
      </c>
      <c r="I63" s="188">
        <v>6</v>
      </c>
      <c r="J63" s="188">
        <v>2</v>
      </c>
      <c r="K63" s="188">
        <v>698</v>
      </c>
      <c r="L63" s="188">
        <v>4707</v>
      </c>
      <c r="M63" s="188">
        <v>5405</v>
      </c>
      <c r="N63" s="188">
        <v>3</v>
      </c>
      <c r="O63" s="188">
        <v>0</v>
      </c>
      <c r="P63" s="188">
        <v>3</v>
      </c>
      <c r="Q63" s="188">
        <v>2</v>
      </c>
      <c r="R63" s="188">
        <v>6</v>
      </c>
      <c r="S63" s="188">
        <v>2</v>
      </c>
      <c r="T63" s="188">
        <v>0</v>
      </c>
      <c r="U63" s="188">
        <v>4</v>
      </c>
      <c r="V63" s="188">
        <v>4</v>
      </c>
      <c r="W63" s="189" t="s">
        <v>125</v>
      </c>
      <c r="X63" s="189" t="s">
        <v>125</v>
      </c>
      <c r="Y63" s="189" t="s">
        <v>125</v>
      </c>
      <c r="Z63" s="188">
        <v>3299</v>
      </c>
      <c r="AA63" s="188">
        <v>3299</v>
      </c>
      <c r="AB63" s="188">
        <v>0</v>
      </c>
      <c r="AC63" s="188">
        <v>725266</v>
      </c>
      <c r="AD63" s="188">
        <v>1114</v>
      </c>
      <c r="AE63" s="190">
        <v>726380</v>
      </c>
      <c r="AY63" s="192"/>
      <c r="AZ63" s="192"/>
    </row>
    <row r="64" spans="1:52" s="191" customFormat="1" ht="15" customHeight="1">
      <c r="A64" s="187" t="s">
        <v>180</v>
      </c>
      <c r="B64" s="188">
        <v>2847</v>
      </c>
      <c r="C64" s="188">
        <v>20</v>
      </c>
      <c r="D64" s="188">
        <v>0</v>
      </c>
      <c r="E64" s="188">
        <v>33663</v>
      </c>
      <c r="F64" s="188">
        <v>330</v>
      </c>
      <c r="G64" s="188">
        <v>203</v>
      </c>
      <c r="H64" s="188">
        <v>36510</v>
      </c>
      <c r="I64" s="188">
        <v>350</v>
      </c>
      <c r="J64" s="188">
        <v>203</v>
      </c>
      <c r="K64" s="188">
        <v>7365</v>
      </c>
      <c r="L64" s="188">
        <v>65477</v>
      </c>
      <c r="M64" s="188">
        <v>72842</v>
      </c>
      <c r="N64" s="188">
        <v>36</v>
      </c>
      <c r="O64" s="188">
        <v>26</v>
      </c>
      <c r="P64" s="188">
        <v>807</v>
      </c>
      <c r="Q64" s="188">
        <v>356</v>
      </c>
      <c r="R64" s="188">
        <v>843</v>
      </c>
      <c r="S64" s="188">
        <v>382</v>
      </c>
      <c r="T64" s="188">
        <v>0</v>
      </c>
      <c r="U64" s="188">
        <v>255</v>
      </c>
      <c r="V64" s="188">
        <v>255</v>
      </c>
      <c r="W64" s="189" t="s">
        <v>125</v>
      </c>
      <c r="X64" s="189" t="s">
        <v>125</v>
      </c>
      <c r="Y64" s="189" t="s">
        <v>125</v>
      </c>
      <c r="Z64" s="188">
        <v>42988</v>
      </c>
      <c r="AA64" s="188">
        <v>42988</v>
      </c>
      <c r="AB64" s="188">
        <v>0</v>
      </c>
      <c r="AC64" s="188">
        <v>10058692</v>
      </c>
      <c r="AD64" s="188">
        <v>124517</v>
      </c>
      <c r="AE64" s="190">
        <v>10183209</v>
      </c>
      <c r="AY64" s="192"/>
      <c r="AZ64" s="192"/>
    </row>
    <row r="65" spans="1:52" s="191" customFormat="1" ht="15" customHeight="1">
      <c r="A65" s="187" t="s">
        <v>181</v>
      </c>
      <c r="B65" s="188">
        <v>893</v>
      </c>
      <c r="C65" s="188">
        <v>39</v>
      </c>
      <c r="D65" s="188">
        <v>0</v>
      </c>
      <c r="E65" s="188">
        <v>9347</v>
      </c>
      <c r="F65" s="188">
        <v>161</v>
      </c>
      <c r="G65" s="188">
        <v>59</v>
      </c>
      <c r="H65" s="188">
        <v>10240</v>
      </c>
      <c r="I65" s="188">
        <v>200</v>
      </c>
      <c r="J65" s="188">
        <v>59</v>
      </c>
      <c r="K65" s="188">
        <v>2303</v>
      </c>
      <c r="L65" s="188">
        <v>17249</v>
      </c>
      <c r="M65" s="188">
        <v>19552</v>
      </c>
      <c r="N65" s="188">
        <v>98</v>
      </c>
      <c r="O65" s="188">
        <v>64</v>
      </c>
      <c r="P65" s="188">
        <v>403</v>
      </c>
      <c r="Q65" s="188">
        <v>219</v>
      </c>
      <c r="R65" s="188">
        <v>501</v>
      </c>
      <c r="S65" s="188">
        <v>283</v>
      </c>
      <c r="T65" s="188">
        <v>0</v>
      </c>
      <c r="U65" s="188">
        <v>82</v>
      </c>
      <c r="V65" s="188">
        <v>82</v>
      </c>
      <c r="W65" s="189" t="s">
        <v>125</v>
      </c>
      <c r="X65" s="189" t="s">
        <v>125</v>
      </c>
      <c r="Y65" s="189" t="s">
        <v>125</v>
      </c>
      <c r="Z65" s="188">
        <v>12285</v>
      </c>
      <c r="AA65" s="188">
        <v>12285</v>
      </c>
      <c r="AB65" s="188">
        <v>0</v>
      </c>
      <c r="AC65" s="188">
        <v>2710584</v>
      </c>
      <c r="AD65" s="188">
        <v>42532</v>
      </c>
      <c r="AE65" s="190">
        <v>2753116</v>
      </c>
      <c r="AY65" s="192"/>
      <c r="AZ65" s="192"/>
    </row>
    <row r="66" spans="1:52" s="191" customFormat="1" ht="15" customHeight="1" thickBot="1">
      <c r="A66" s="193" t="s">
        <v>182</v>
      </c>
      <c r="B66" s="194">
        <v>781</v>
      </c>
      <c r="C66" s="194">
        <v>6</v>
      </c>
      <c r="D66" s="194">
        <v>0</v>
      </c>
      <c r="E66" s="194">
        <v>5309</v>
      </c>
      <c r="F66" s="194">
        <v>25</v>
      </c>
      <c r="G66" s="194">
        <v>6</v>
      </c>
      <c r="H66" s="194">
        <v>6090</v>
      </c>
      <c r="I66" s="194">
        <v>31</v>
      </c>
      <c r="J66" s="194">
        <v>6</v>
      </c>
      <c r="K66" s="194">
        <v>2089</v>
      </c>
      <c r="L66" s="194">
        <v>11047</v>
      </c>
      <c r="M66" s="194">
        <v>13136</v>
      </c>
      <c r="N66" s="194">
        <v>14</v>
      </c>
      <c r="O66" s="194">
        <v>7</v>
      </c>
      <c r="P66" s="194">
        <v>79</v>
      </c>
      <c r="Q66" s="194">
        <v>33</v>
      </c>
      <c r="R66" s="194">
        <v>93</v>
      </c>
      <c r="S66" s="194">
        <v>40</v>
      </c>
      <c r="T66" s="194">
        <v>0</v>
      </c>
      <c r="U66" s="194">
        <v>6</v>
      </c>
      <c r="V66" s="194">
        <v>6</v>
      </c>
      <c r="W66" s="195" t="s">
        <v>125</v>
      </c>
      <c r="X66" s="195" t="s">
        <v>125</v>
      </c>
      <c r="Y66" s="195" t="s">
        <v>125</v>
      </c>
      <c r="Z66" s="194">
        <v>6465</v>
      </c>
      <c r="AA66" s="194">
        <v>6465</v>
      </c>
      <c r="AB66" s="194">
        <v>0</v>
      </c>
      <c r="AC66" s="194">
        <v>1790333</v>
      </c>
      <c r="AD66" s="194">
        <v>5396</v>
      </c>
      <c r="AE66" s="196">
        <v>1795729</v>
      </c>
      <c r="AG66" s="197" t="s">
        <v>63</v>
      </c>
      <c r="AY66" s="192"/>
      <c r="AZ66" s="192"/>
    </row>
    <row r="67" spans="1:52" s="191" customFormat="1" ht="15.75" customHeight="1" thickTop="1">
      <c r="A67" s="198" t="s">
        <v>183</v>
      </c>
      <c r="B67" s="199">
        <f>SUBTOTAL(109,Sep16Data[Cell 1])</f>
        <v>256054</v>
      </c>
      <c r="C67" s="199">
        <f>SUBTOTAL(109,Sep16Data[Cell 2])</f>
        <v>4889</v>
      </c>
      <c r="D67" s="199">
        <f>SUBTOTAL(109,Sep16Data[Cell 3])</f>
        <v>146</v>
      </c>
      <c r="E67" s="199">
        <f>SUBTOTAL(109,Sep16Data[Cell 4])</f>
        <v>1780993</v>
      </c>
      <c r="F67" s="199">
        <f>SUBTOTAL(109,Sep16Data[Cell 5])</f>
        <v>20893</v>
      </c>
      <c r="G67" s="199">
        <f>SUBTOTAL(109,Sep16Data[Cell 6])</f>
        <v>11105</v>
      </c>
      <c r="H67" s="199">
        <f>SUBTOTAL(109,Sep16Data[Cell 15])</f>
        <v>2037047</v>
      </c>
      <c r="I67" s="199">
        <f>SUBTOTAL(109,Sep16Data[Cell 16])</f>
        <v>25782</v>
      </c>
      <c r="J67" s="199">
        <f>SUBTOTAL(109,Sep16Data[Cell 17])</f>
        <v>11251</v>
      </c>
      <c r="K67" s="199">
        <f>SUBTOTAL(109,Sep16Data[Cell 7])</f>
        <v>654887</v>
      </c>
      <c r="L67" s="199">
        <f>SUBTOTAL(109,Sep16Data[Cell 8])</f>
        <v>3536752</v>
      </c>
      <c r="M67" s="199">
        <f>SUBTOTAL(109,Sep16Data[Cell 18])</f>
        <v>4191639</v>
      </c>
      <c r="N67" s="199">
        <f>SUBTOTAL(109,Sep16Data[Cell 9])</f>
        <v>10936</v>
      </c>
      <c r="O67" s="199">
        <f>SUBTOTAL(109,Sep16Data[Cell 10])</f>
        <v>6572</v>
      </c>
      <c r="P67" s="199">
        <f>SUBTOTAL(109,Sep16Data[Cell 11])</f>
        <v>49874</v>
      </c>
      <c r="Q67" s="199">
        <f>SUBTOTAL(109,Sep16Data[Cell 12])</f>
        <v>25389</v>
      </c>
      <c r="R67" s="199">
        <f>SUBTOTAL(109,Sep16Data[Cell 19])</f>
        <v>60810</v>
      </c>
      <c r="S67" s="199">
        <f>SUBTOTAL(109,Sep16Data[Cell 20])</f>
        <v>31961</v>
      </c>
      <c r="T67" s="199">
        <f>SUBTOTAL(109,Sep16Data[Cell 13])</f>
        <v>216</v>
      </c>
      <c r="U67" s="199">
        <f>SUBTOTAL(109,Sep16Data[Cell 14])</f>
        <v>14248</v>
      </c>
      <c r="V67" s="199">
        <f>SUBTOTAL(109,Sep16Data[Cell 21])</f>
        <v>14464</v>
      </c>
      <c r="W67" s="200"/>
      <c r="X67" s="200"/>
      <c r="Y67" s="200"/>
      <c r="Z67" s="199">
        <f>SUBTOTAL(109,Sep16Data[Cell 25])</f>
        <v>2240815</v>
      </c>
      <c r="AA67" s="199">
        <f>SUBTOTAL(109,Sep16Data[Cell 26])</f>
        <v>2240815</v>
      </c>
      <c r="AB67" s="199">
        <f>SUBTOTAL(109,Sep16Data[Cell 27])</f>
        <v>0</v>
      </c>
      <c r="AC67" s="199">
        <f>SUBTOTAL(109,Sep16Data[Cell 28])</f>
        <v>591730311</v>
      </c>
      <c r="AD67" s="199">
        <f>SUBTOTAL(109,Sep16Data[Cell 29])</f>
        <v>5586518</v>
      </c>
      <c r="AE67" s="199">
        <f>SUBTOTAL(109,Sep16Data[Cell 30])</f>
        <v>597316829</v>
      </c>
      <c r="AG67" s="201">
        <v>1211861196</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7"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64</v>
      </c>
    </row>
    <row r="2" spans="1:26" s="14" customFormat="1" ht="20.25">
      <c r="A2" s="9" t="s">
        <v>4</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5</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6</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7</v>
      </c>
      <c r="B6" s="24"/>
      <c r="C6" s="24"/>
      <c r="D6" s="24"/>
      <c r="E6" s="24"/>
      <c r="F6" s="24"/>
      <c r="G6" s="24"/>
      <c r="H6" s="137" t="s">
        <v>189</v>
      </c>
      <c r="I6" s="138"/>
      <c r="J6" s="138"/>
      <c r="K6" s="138"/>
      <c r="L6" s="138"/>
      <c r="M6" s="138"/>
      <c r="N6" s="138"/>
      <c r="O6" s="138"/>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9</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10</v>
      </c>
      <c r="E9" s="37"/>
      <c r="F9" s="37"/>
      <c r="G9" s="37"/>
      <c r="H9" s="37"/>
      <c r="I9" s="37"/>
      <c r="J9" s="38" t="s">
        <v>11</v>
      </c>
      <c r="K9" s="39"/>
      <c r="L9" s="39"/>
      <c r="M9" s="39"/>
      <c r="N9" s="39"/>
      <c r="O9" s="40"/>
      <c r="Q9" s="27"/>
      <c r="R9" s="27"/>
      <c r="S9" s="27"/>
      <c r="T9" s="27"/>
      <c r="U9" s="27"/>
      <c r="V9" s="27"/>
    </row>
    <row r="10" spans="1:26" ht="12" customHeight="1">
      <c r="A10" s="34"/>
      <c r="B10" s="35"/>
      <c r="C10" s="35"/>
      <c r="D10" s="41" t="s">
        <v>12</v>
      </c>
      <c r="E10" s="42"/>
      <c r="F10" s="42"/>
      <c r="G10" s="42"/>
      <c r="H10" s="42"/>
      <c r="I10" s="42"/>
      <c r="J10" s="43" t="s">
        <v>13</v>
      </c>
      <c r="K10" s="44"/>
      <c r="L10" s="44"/>
      <c r="M10" s="44"/>
      <c r="N10" s="44"/>
      <c r="O10" s="45"/>
      <c r="Q10" s="27"/>
      <c r="R10" s="27"/>
      <c r="S10" s="27"/>
      <c r="T10" s="27"/>
      <c r="U10" s="27"/>
      <c r="V10" s="27"/>
    </row>
    <row r="11" spans="1:26" ht="12" customHeight="1">
      <c r="A11" s="34"/>
      <c r="B11" s="35"/>
      <c r="C11" s="35"/>
      <c r="D11" s="46" t="s">
        <v>14</v>
      </c>
      <c r="E11" s="47"/>
      <c r="F11" s="46" t="s">
        <v>15</v>
      </c>
      <c r="G11" s="47"/>
      <c r="H11" s="46" t="s">
        <v>16</v>
      </c>
      <c r="I11" s="47"/>
      <c r="J11" s="48" t="s">
        <v>14</v>
      </c>
      <c r="K11" s="49"/>
      <c r="L11" s="48" t="s">
        <v>15</v>
      </c>
      <c r="M11" s="49"/>
      <c r="N11" s="50" t="s">
        <v>16</v>
      </c>
      <c r="O11" s="51"/>
      <c r="Q11" s="27"/>
      <c r="R11" s="27"/>
      <c r="S11" s="27"/>
      <c r="T11" s="27"/>
      <c r="U11" s="27"/>
      <c r="V11" s="27"/>
    </row>
    <row r="12" spans="1:26" ht="26.1" customHeight="1">
      <c r="A12" s="52" t="s">
        <v>17</v>
      </c>
      <c r="B12" s="53" t="s">
        <v>18</v>
      </c>
      <c r="C12" s="35"/>
      <c r="D12" s="54">
        <v>1</v>
      </c>
      <c r="E12" s="55">
        <v>257657</v>
      </c>
      <c r="F12" s="54">
        <v>2</v>
      </c>
      <c r="G12" s="55">
        <v>4933</v>
      </c>
      <c r="H12" s="54">
        <v>3</v>
      </c>
      <c r="I12" s="55">
        <v>332</v>
      </c>
      <c r="J12" s="54">
        <v>4</v>
      </c>
      <c r="K12" s="55">
        <v>1767372</v>
      </c>
      <c r="L12" s="54">
        <v>5</v>
      </c>
      <c r="M12" s="55">
        <v>20655</v>
      </c>
      <c r="N12" s="54">
        <v>6</v>
      </c>
      <c r="O12" s="55">
        <v>10629</v>
      </c>
      <c r="Q12" s="56"/>
      <c r="R12" s="56"/>
      <c r="S12" s="56"/>
      <c r="T12" s="56"/>
      <c r="U12" s="56"/>
      <c r="V12" s="56"/>
    </row>
    <row r="13" spans="1:26" ht="14.1" customHeight="1">
      <c r="A13" s="57" t="s">
        <v>19</v>
      </c>
      <c r="B13" s="58" t="s">
        <v>20</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21</v>
      </c>
      <c r="C14" s="65"/>
      <c r="D14" s="66"/>
      <c r="E14" s="67">
        <v>656657</v>
      </c>
      <c r="F14" s="68"/>
      <c r="G14" s="69"/>
      <c r="H14" s="68"/>
      <c r="I14" s="69"/>
      <c r="J14" s="66"/>
      <c r="K14" s="67">
        <v>3513640</v>
      </c>
      <c r="L14" s="68"/>
      <c r="M14" s="69"/>
      <c r="N14" s="68"/>
      <c r="O14" s="69"/>
      <c r="Q14" s="27"/>
      <c r="R14" s="27"/>
      <c r="S14" s="27"/>
      <c r="T14" s="27"/>
      <c r="U14" s="27"/>
      <c r="V14" s="27"/>
    </row>
    <row r="15" spans="1:26" ht="14.1" customHeight="1">
      <c r="A15" s="57" t="s">
        <v>22</v>
      </c>
      <c r="B15" s="58" t="s">
        <v>23</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24</v>
      </c>
      <c r="C16" s="65"/>
      <c r="D16" s="66"/>
      <c r="E16" s="67">
        <v>10954</v>
      </c>
      <c r="F16" s="68"/>
      <c r="G16" s="69"/>
      <c r="H16" s="66"/>
      <c r="I16" s="67">
        <v>6579</v>
      </c>
      <c r="J16" s="66"/>
      <c r="K16" s="67">
        <v>49148</v>
      </c>
      <c r="L16" s="68"/>
      <c r="M16" s="69"/>
      <c r="N16" s="66"/>
      <c r="O16" s="67">
        <v>25186</v>
      </c>
      <c r="Q16" s="27"/>
      <c r="R16" s="27"/>
      <c r="S16" s="27"/>
      <c r="T16" s="27"/>
      <c r="U16" s="27"/>
      <c r="V16" s="27"/>
    </row>
    <row r="17" spans="1:26" ht="14.1" customHeight="1">
      <c r="A17" s="57" t="s">
        <v>25</v>
      </c>
      <c r="B17" s="71" t="s">
        <v>26</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27</v>
      </c>
      <c r="C18" s="73"/>
      <c r="D18" s="68"/>
      <c r="E18" s="69"/>
      <c r="F18" s="68"/>
      <c r="G18" s="69"/>
      <c r="H18" s="66"/>
      <c r="I18" s="67">
        <v>448</v>
      </c>
      <c r="J18" s="68"/>
      <c r="K18" s="69"/>
      <c r="L18" s="68"/>
      <c r="M18" s="69"/>
      <c r="N18" s="66"/>
      <c r="O18" s="67">
        <v>13669</v>
      </c>
      <c r="Q18" s="27"/>
      <c r="R18" s="27"/>
      <c r="S18" s="27"/>
      <c r="T18" s="27"/>
      <c r="U18" s="27"/>
      <c r="V18" s="27"/>
    </row>
    <row r="19" spans="1:26" s="81" customFormat="1" ht="16.5" customHeight="1">
      <c r="A19" s="74" t="s">
        <v>28</v>
      </c>
      <c r="B19" s="53" t="s">
        <v>29</v>
      </c>
      <c r="C19" s="53"/>
      <c r="D19" s="75"/>
      <c r="E19" s="75"/>
      <c r="F19" s="75"/>
      <c r="G19" s="75"/>
      <c r="H19" s="75"/>
      <c r="I19" s="75"/>
      <c r="J19" s="76"/>
      <c r="K19" s="76"/>
      <c r="L19" s="76"/>
      <c r="M19" s="77"/>
      <c r="N19" s="78">
        <v>15</v>
      </c>
      <c r="O19" s="79">
        <v>2025029</v>
      </c>
      <c r="P19" s="80"/>
      <c r="Q19" s="27"/>
      <c r="R19" s="27"/>
      <c r="S19" s="27"/>
      <c r="T19" s="27"/>
      <c r="U19" s="27"/>
      <c r="V19" s="27"/>
      <c r="W19" s="80"/>
      <c r="X19" s="80"/>
      <c r="Y19" s="80"/>
      <c r="Z19" s="80"/>
    </row>
    <row r="20" spans="1:26" s="81" customFormat="1" ht="16.5" customHeight="1">
      <c r="A20" s="74" t="s">
        <v>30</v>
      </c>
      <c r="B20" s="53" t="s">
        <v>31</v>
      </c>
      <c r="C20" s="53"/>
      <c r="D20" s="75"/>
      <c r="E20" s="75"/>
      <c r="F20" s="75"/>
      <c r="G20" s="75"/>
      <c r="H20" s="75"/>
      <c r="I20" s="75"/>
      <c r="J20" s="76"/>
      <c r="K20" s="76"/>
      <c r="L20" s="76"/>
      <c r="M20" s="77"/>
      <c r="N20" s="82">
        <v>16</v>
      </c>
      <c r="O20" s="83">
        <v>25588</v>
      </c>
      <c r="P20" s="80"/>
      <c r="Q20" s="27"/>
      <c r="R20" s="27"/>
      <c r="S20" s="27"/>
      <c r="T20" s="27"/>
      <c r="U20" s="27"/>
      <c r="V20" s="27"/>
      <c r="W20" s="80"/>
      <c r="X20" s="80"/>
      <c r="Y20" s="80"/>
      <c r="Z20" s="80"/>
    </row>
    <row r="21" spans="1:26" s="81" customFormat="1" ht="16.5" customHeight="1">
      <c r="A21" s="74" t="s">
        <v>32</v>
      </c>
      <c r="B21" s="53" t="s">
        <v>33</v>
      </c>
      <c r="C21" s="53"/>
      <c r="D21" s="75"/>
      <c r="E21" s="75"/>
      <c r="F21" s="75"/>
      <c r="G21" s="75"/>
      <c r="H21" s="75"/>
      <c r="I21" s="75"/>
      <c r="J21" s="76"/>
      <c r="K21" s="76"/>
      <c r="L21" s="76"/>
      <c r="M21" s="77"/>
      <c r="N21" s="82">
        <v>17</v>
      </c>
      <c r="O21" s="83">
        <v>10961</v>
      </c>
      <c r="P21" s="80"/>
      <c r="Q21" s="27"/>
      <c r="R21" s="27"/>
      <c r="S21" s="27"/>
      <c r="T21" s="27"/>
      <c r="U21" s="27"/>
      <c r="V21" s="27"/>
      <c r="W21" s="80"/>
      <c r="X21" s="80"/>
      <c r="Y21" s="80"/>
      <c r="Z21" s="80"/>
    </row>
    <row r="22" spans="1:26" s="81" customFormat="1" ht="16.5" customHeight="1">
      <c r="A22" s="74" t="s">
        <v>34</v>
      </c>
      <c r="B22" s="53" t="s">
        <v>35</v>
      </c>
      <c r="C22" s="53"/>
      <c r="D22" s="53"/>
      <c r="E22" s="53"/>
      <c r="F22" s="53"/>
      <c r="G22" s="53"/>
      <c r="H22" s="53"/>
      <c r="I22" s="53"/>
      <c r="J22" s="84"/>
      <c r="K22" s="84"/>
      <c r="L22" s="84"/>
      <c r="M22" s="85"/>
      <c r="N22" s="86">
        <v>18</v>
      </c>
      <c r="O22" s="79">
        <v>4170297</v>
      </c>
      <c r="P22" s="80"/>
      <c r="Q22" s="27"/>
      <c r="R22" s="27"/>
      <c r="S22" s="27"/>
      <c r="T22" s="27"/>
      <c r="U22" s="27"/>
      <c r="V22" s="27"/>
      <c r="W22" s="80"/>
      <c r="X22" s="80"/>
      <c r="Y22" s="80"/>
      <c r="Z22" s="80"/>
    </row>
    <row r="23" spans="1:26" s="81" customFormat="1" ht="16.5" customHeight="1">
      <c r="A23" s="74" t="s">
        <v>36</v>
      </c>
      <c r="B23" s="53" t="s">
        <v>37</v>
      </c>
      <c r="C23" s="53"/>
      <c r="D23" s="53"/>
      <c r="E23" s="53"/>
      <c r="F23" s="53"/>
      <c r="G23" s="53"/>
      <c r="H23" s="53"/>
      <c r="I23" s="53"/>
      <c r="J23" s="84"/>
      <c r="K23" s="84"/>
      <c r="L23" s="84"/>
      <c r="M23" s="85"/>
      <c r="N23" s="86">
        <v>19</v>
      </c>
      <c r="O23" s="79">
        <v>60102</v>
      </c>
      <c r="P23" s="80"/>
      <c r="Q23" s="27"/>
      <c r="R23" s="27"/>
      <c r="S23" s="27"/>
      <c r="T23" s="27"/>
      <c r="U23" s="27"/>
      <c r="V23" s="27"/>
      <c r="W23" s="80"/>
      <c r="X23" s="80"/>
      <c r="Y23" s="80"/>
      <c r="Z23" s="80"/>
    </row>
    <row r="24" spans="1:26" s="81" customFormat="1" ht="16.5" customHeight="1">
      <c r="A24" s="74" t="s">
        <v>38</v>
      </c>
      <c r="B24" s="53" t="s">
        <v>39</v>
      </c>
      <c r="C24" s="53"/>
      <c r="D24" s="53"/>
      <c r="E24" s="53"/>
      <c r="F24" s="53"/>
      <c r="G24" s="53"/>
      <c r="H24" s="53"/>
      <c r="I24" s="53"/>
      <c r="J24" s="84"/>
      <c r="K24" s="84"/>
      <c r="L24" s="84"/>
      <c r="M24" s="85"/>
      <c r="N24" s="86">
        <v>20</v>
      </c>
      <c r="O24" s="87">
        <v>31765</v>
      </c>
      <c r="P24" s="80"/>
      <c r="Q24" s="27"/>
      <c r="R24" s="27"/>
      <c r="S24" s="27"/>
      <c r="T24" s="27"/>
      <c r="U24" s="27"/>
      <c r="V24" s="27"/>
      <c r="W24" s="80"/>
      <c r="X24" s="80"/>
      <c r="Y24" s="80"/>
      <c r="Z24" s="80"/>
    </row>
    <row r="25" spans="1:26" s="81" customFormat="1" ht="16.5" customHeight="1">
      <c r="A25" s="74" t="s">
        <v>40</v>
      </c>
      <c r="B25" s="53" t="s">
        <v>41</v>
      </c>
      <c r="C25" s="53"/>
      <c r="D25" s="53"/>
      <c r="E25" s="53"/>
      <c r="F25" s="53"/>
      <c r="G25" s="53"/>
      <c r="H25" s="53"/>
      <c r="I25" s="53"/>
      <c r="J25" s="84"/>
      <c r="K25" s="84"/>
      <c r="L25" s="84"/>
      <c r="M25" s="85"/>
      <c r="N25" s="88">
        <v>21</v>
      </c>
      <c r="O25" s="89">
        <v>14117</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42</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43</v>
      </c>
      <c r="B28" s="98" t="s">
        <v>44</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45</v>
      </c>
      <c r="B29" s="98" t="s">
        <v>46</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47</v>
      </c>
      <c r="B30" s="98" t="s">
        <v>48</v>
      </c>
      <c r="C30" s="98"/>
      <c r="D30" s="99"/>
      <c r="E30" s="98"/>
      <c r="F30" s="98"/>
      <c r="G30" s="98"/>
      <c r="H30" s="98"/>
      <c r="I30" s="98"/>
      <c r="J30" s="103"/>
      <c r="K30" s="103"/>
      <c r="L30" s="103"/>
      <c r="M30" s="103"/>
      <c r="N30" s="101">
        <v>24</v>
      </c>
      <c r="O30" s="102">
        <v>0</v>
      </c>
      <c r="R30" s="27"/>
      <c r="S30" s="27"/>
      <c r="T30" s="27"/>
      <c r="U30" s="27"/>
      <c r="V30" s="27"/>
    </row>
    <row r="31" spans="1:26" ht="15.75" customHeight="1">
      <c r="A31" s="97" t="s">
        <v>49</v>
      </c>
      <c r="B31" s="98" t="s">
        <v>50</v>
      </c>
      <c r="C31" s="98"/>
      <c r="D31" s="99"/>
      <c r="E31" s="98"/>
      <c r="F31" s="98"/>
      <c r="G31" s="98"/>
      <c r="H31" s="98"/>
      <c r="I31" s="98"/>
      <c r="J31" s="103"/>
      <c r="K31" s="103"/>
      <c r="L31" s="103"/>
      <c r="M31" s="103"/>
      <c r="N31" s="101">
        <v>25</v>
      </c>
      <c r="O31" s="102">
        <v>2225260</v>
      </c>
      <c r="R31" s="27"/>
      <c r="S31" s="27"/>
      <c r="T31" s="27"/>
      <c r="U31" s="27"/>
      <c r="V31" s="27"/>
    </row>
    <row r="32" spans="1:26" ht="15.75" customHeight="1">
      <c r="A32" s="97" t="s">
        <v>51</v>
      </c>
      <c r="B32" s="98" t="s">
        <v>52</v>
      </c>
      <c r="C32" s="98"/>
      <c r="D32" s="99"/>
      <c r="E32" s="98"/>
      <c r="F32" s="98"/>
      <c r="G32" s="98"/>
      <c r="H32" s="98"/>
      <c r="I32" s="98"/>
      <c r="J32" s="103"/>
      <c r="K32" s="104"/>
      <c r="L32" s="103"/>
      <c r="M32" s="103"/>
      <c r="N32" s="54">
        <v>26</v>
      </c>
      <c r="O32" s="55">
        <v>2225260</v>
      </c>
    </row>
    <row r="33" spans="1:26" ht="15.75" customHeight="1">
      <c r="A33" s="97" t="s">
        <v>53</v>
      </c>
      <c r="B33" s="98" t="s">
        <v>54</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55</v>
      </c>
      <c r="B35" s="115"/>
      <c r="C35" s="115"/>
      <c r="D35" s="116"/>
      <c r="E35" s="115"/>
      <c r="F35" s="115"/>
      <c r="G35" s="115"/>
      <c r="H35" s="115"/>
      <c r="I35" s="115"/>
      <c r="J35" s="117"/>
      <c r="K35" s="118"/>
      <c r="L35" s="119"/>
      <c r="M35" s="120" t="s">
        <v>56</v>
      </c>
      <c r="N35" s="120"/>
      <c r="O35" s="121"/>
      <c r="P35" s="122"/>
      <c r="Q35" s="8"/>
      <c r="R35" s="8"/>
      <c r="S35" s="8"/>
      <c r="T35" s="8"/>
      <c r="U35" s="8"/>
      <c r="V35" s="8"/>
      <c r="W35" s="122"/>
      <c r="X35" s="122"/>
      <c r="Y35" s="122"/>
      <c r="Z35" s="122"/>
    </row>
    <row r="36" spans="1:26" ht="17.25" customHeight="1">
      <c r="A36" s="97" t="s">
        <v>57</v>
      </c>
      <c r="B36" s="98" t="s">
        <v>58</v>
      </c>
      <c r="C36" s="98"/>
      <c r="D36" s="99"/>
      <c r="E36" s="98"/>
      <c r="F36" s="98"/>
      <c r="G36" s="98"/>
      <c r="H36" s="98"/>
      <c r="I36" s="98"/>
      <c r="J36" s="100"/>
      <c r="K36" s="100"/>
      <c r="L36" s="100"/>
      <c r="M36" s="100"/>
      <c r="N36" s="124">
        <v>28</v>
      </c>
      <c r="O36" s="125">
        <v>588460076</v>
      </c>
    </row>
    <row r="37" spans="1:26" ht="17.25" customHeight="1">
      <c r="A37" s="97" t="s">
        <v>59</v>
      </c>
      <c r="B37" s="98" t="s">
        <v>60</v>
      </c>
      <c r="C37" s="98"/>
      <c r="D37" s="99"/>
      <c r="E37" s="98"/>
      <c r="F37" s="98"/>
      <c r="G37" s="98"/>
      <c r="H37" s="98"/>
      <c r="I37" s="98"/>
      <c r="J37" s="103"/>
      <c r="K37" s="103"/>
      <c r="L37" s="103"/>
      <c r="M37" s="103"/>
      <c r="N37" s="124">
        <v>29</v>
      </c>
      <c r="O37" s="125">
        <v>5509743</v>
      </c>
    </row>
    <row r="38" spans="1:26" ht="17.25" customHeight="1">
      <c r="A38" s="97" t="s">
        <v>61</v>
      </c>
      <c r="B38" s="98" t="s">
        <v>62</v>
      </c>
      <c r="C38" s="98"/>
      <c r="D38" s="99"/>
      <c r="E38" s="98"/>
      <c r="F38" s="98"/>
      <c r="G38" s="98"/>
      <c r="H38" s="98"/>
      <c r="I38" s="98"/>
      <c r="J38" s="103"/>
      <c r="K38" s="103"/>
      <c r="L38" s="103"/>
      <c r="M38" s="103"/>
      <c r="N38" s="126">
        <v>30</v>
      </c>
      <c r="O38" s="127">
        <v>593969819</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3</v>
      </c>
      <c r="B40" s="131"/>
      <c r="C40" s="131"/>
      <c r="D40" s="131"/>
      <c r="E40" s="131"/>
      <c r="F40" s="131"/>
      <c r="G40" s="131"/>
      <c r="H40" s="131"/>
      <c r="I40" s="131"/>
      <c r="J40" s="131"/>
      <c r="K40" s="131"/>
      <c r="L40" s="131"/>
      <c r="M40" s="131"/>
      <c r="N40" s="131"/>
      <c r="O40" s="132"/>
      <c r="Q40" s="27"/>
    </row>
    <row r="41" spans="1:26" ht="51" customHeight="1">
      <c r="A41" s="220" t="s">
        <v>210</v>
      </c>
      <c r="B41" s="221"/>
      <c r="C41" s="221"/>
      <c r="D41" s="221"/>
      <c r="E41" s="221"/>
      <c r="F41" s="221"/>
      <c r="G41" s="221"/>
      <c r="H41" s="221"/>
      <c r="I41" s="221"/>
      <c r="J41" s="221"/>
      <c r="K41" s="221"/>
      <c r="L41" s="221"/>
      <c r="M41" s="221"/>
      <c r="N41" s="221"/>
      <c r="O41" s="222"/>
      <c r="Q41" s="27"/>
    </row>
    <row r="42" spans="1:26">
      <c r="L42" s="133" t="s">
        <v>63</v>
      </c>
      <c r="M42" s="134"/>
      <c r="N42" s="135"/>
      <c r="O42" s="136">
        <v>1205065876</v>
      </c>
    </row>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AZ68"/>
  <sheetViews>
    <sheetView showGridLines="0" zoomScaleNormal="100" workbookViewId="0"/>
  </sheetViews>
  <sheetFormatPr defaultColWidth="23.42578125" defaultRowHeight="15"/>
  <cols>
    <col min="1" max="1" width="25.28515625" style="202" customWidth="1"/>
    <col min="2" max="31" width="15.7109375" style="203" customWidth="1"/>
    <col min="32" max="32" width="1.42578125" style="191" customWidth="1"/>
    <col min="33" max="33" width="18.85546875" style="191" bestFit="1" customWidth="1"/>
    <col min="34" max="50" width="23.42578125" style="191"/>
    <col min="51" max="16384" width="23.42578125" style="192"/>
  </cols>
  <sheetData>
    <row r="1" spans="1:52" s="141" customFormat="1" ht="13.15" customHeight="1">
      <c r="A1" s="139" t="s">
        <v>190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G1" s="142"/>
      <c r="AH1" s="142"/>
      <c r="AI1" s="142"/>
      <c r="AJ1" s="142"/>
      <c r="AK1" s="142"/>
      <c r="AL1" s="142"/>
      <c r="AM1" s="142"/>
      <c r="AN1" s="142"/>
      <c r="AO1" s="142"/>
      <c r="AP1" s="142"/>
      <c r="AQ1" s="142"/>
      <c r="AR1" s="142"/>
      <c r="AS1" s="142"/>
      <c r="AT1" s="142"/>
      <c r="AU1" s="142"/>
      <c r="AV1" s="142"/>
      <c r="AW1" s="142"/>
      <c r="AX1" s="142"/>
    </row>
    <row r="2" spans="1:52" s="140" customFormat="1" ht="15.75">
      <c r="A2" s="143"/>
      <c r="B2" s="144" t="s">
        <v>9</v>
      </c>
      <c r="C2" s="145"/>
      <c r="D2" s="145"/>
      <c r="E2" s="145"/>
      <c r="F2" s="145"/>
      <c r="G2" s="145"/>
      <c r="H2" s="145"/>
      <c r="I2" s="145"/>
      <c r="J2" s="145"/>
      <c r="K2" s="144" t="s">
        <v>9</v>
      </c>
      <c r="L2" s="145"/>
      <c r="M2" s="145"/>
      <c r="N2" s="145"/>
      <c r="O2" s="145"/>
      <c r="P2" s="145"/>
      <c r="Q2" s="145"/>
      <c r="R2" s="145"/>
      <c r="S2" s="145"/>
      <c r="T2" s="145"/>
      <c r="U2" s="145"/>
      <c r="V2" s="146"/>
      <c r="W2" s="147" t="s">
        <v>65</v>
      </c>
      <c r="X2" s="148"/>
      <c r="Y2" s="148"/>
      <c r="Z2" s="148"/>
      <c r="AA2" s="148"/>
      <c r="AB2" s="149"/>
      <c r="AC2" s="150" t="s">
        <v>55</v>
      </c>
      <c r="AD2" s="151"/>
      <c r="AE2" s="152"/>
    </row>
    <row r="3" spans="1:52" s="140" customFormat="1" ht="15.75">
      <c r="A3" s="153" t="s">
        <v>189</v>
      </c>
      <c r="B3" s="154" t="s">
        <v>66</v>
      </c>
      <c r="C3" s="155"/>
      <c r="D3" s="155"/>
      <c r="E3" s="155"/>
      <c r="F3" s="155"/>
      <c r="G3" s="155"/>
      <c r="H3" s="155"/>
      <c r="I3" s="155"/>
      <c r="J3" s="156"/>
      <c r="K3" s="150" t="s">
        <v>67</v>
      </c>
      <c r="L3" s="151"/>
      <c r="M3" s="152"/>
      <c r="N3" s="157" t="s">
        <v>68</v>
      </c>
      <c r="O3" s="158"/>
      <c r="P3" s="158"/>
      <c r="Q3" s="158"/>
      <c r="R3" s="158"/>
      <c r="S3" s="159"/>
      <c r="T3" s="150" t="s">
        <v>69</v>
      </c>
      <c r="U3" s="151"/>
      <c r="V3" s="152"/>
      <c r="W3" s="160"/>
      <c r="X3" s="161"/>
      <c r="Y3" s="161"/>
      <c r="Z3" s="161"/>
      <c r="AA3" s="161"/>
      <c r="AB3" s="162"/>
      <c r="AC3" s="163"/>
      <c r="AD3" s="164"/>
      <c r="AE3" s="165"/>
    </row>
    <row r="4" spans="1:52" s="140" customFormat="1" ht="15.75">
      <c r="A4" s="166"/>
      <c r="B4" s="144" t="s">
        <v>70</v>
      </c>
      <c r="C4" s="145"/>
      <c r="D4" s="146"/>
      <c r="E4" s="144" t="s">
        <v>71</v>
      </c>
      <c r="F4" s="145"/>
      <c r="G4" s="146"/>
      <c r="H4" s="144" t="s">
        <v>72</v>
      </c>
      <c r="I4" s="145"/>
      <c r="J4" s="146"/>
      <c r="K4" s="167"/>
      <c r="L4" s="167"/>
      <c r="M4" s="168"/>
      <c r="N4" s="144" t="s">
        <v>73</v>
      </c>
      <c r="O4" s="146"/>
      <c r="P4" s="144" t="s">
        <v>74</v>
      </c>
      <c r="Q4" s="146"/>
      <c r="R4" s="144" t="s">
        <v>72</v>
      </c>
      <c r="S4" s="146"/>
      <c r="T4" s="167"/>
      <c r="U4" s="167"/>
      <c r="V4" s="169"/>
      <c r="W4" s="170"/>
      <c r="X4" s="167"/>
      <c r="Y4" s="167"/>
      <c r="Z4" s="169"/>
      <c r="AA4" s="169"/>
      <c r="AB4" s="167"/>
      <c r="AC4" s="170"/>
      <c r="AD4" s="167"/>
      <c r="AE4" s="167"/>
    </row>
    <row r="5" spans="1:52" s="140" customFormat="1" ht="15.75">
      <c r="A5" s="166"/>
      <c r="B5" s="171"/>
      <c r="C5" s="172"/>
      <c r="D5" s="173"/>
      <c r="E5" s="171"/>
      <c r="F5" s="172"/>
      <c r="G5" s="173"/>
      <c r="H5" s="171"/>
      <c r="I5" s="172"/>
      <c r="J5" s="173"/>
      <c r="K5" s="172" t="s">
        <v>75</v>
      </c>
      <c r="L5" s="172" t="s">
        <v>76</v>
      </c>
      <c r="M5" s="174"/>
      <c r="N5" s="171"/>
      <c r="O5" s="172"/>
      <c r="P5" s="175"/>
      <c r="Q5" s="172"/>
      <c r="R5" s="171"/>
      <c r="S5" s="172"/>
      <c r="T5" s="172" t="s">
        <v>75</v>
      </c>
      <c r="U5" s="172" t="s">
        <v>76</v>
      </c>
      <c r="V5" s="175"/>
      <c r="W5" s="171"/>
      <c r="X5" s="172" t="s">
        <v>77</v>
      </c>
      <c r="Y5" s="172" t="s">
        <v>78</v>
      </c>
      <c r="Z5" s="173"/>
      <c r="AA5" s="173"/>
      <c r="AB5" s="172" t="s">
        <v>79</v>
      </c>
      <c r="AC5" s="176"/>
      <c r="AD5" s="176"/>
      <c r="AE5" s="176"/>
    </row>
    <row r="6" spans="1:52" s="140" customFormat="1" ht="15.75">
      <c r="A6" s="166"/>
      <c r="B6" s="171"/>
      <c r="C6" s="172" t="s">
        <v>80</v>
      </c>
      <c r="D6" s="173"/>
      <c r="E6" s="171"/>
      <c r="F6" s="172" t="s">
        <v>80</v>
      </c>
      <c r="G6" s="173"/>
      <c r="H6" s="171"/>
      <c r="I6" s="172" t="s">
        <v>80</v>
      </c>
      <c r="J6" s="173"/>
      <c r="K6" s="172" t="s">
        <v>81</v>
      </c>
      <c r="L6" s="172" t="s">
        <v>82</v>
      </c>
      <c r="M6" s="173"/>
      <c r="N6" s="171"/>
      <c r="O6" s="172"/>
      <c r="P6" s="175"/>
      <c r="Q6" s="172"/>
      <c r="R6" s="171"/>
      <c r="S6" s="172"/>
      <c r="T6" s="171" t="s">
        <v>81</v>
      </c>
      <c r="U6" s="172" t="s">
        <v>82</v>
      </c>
      <c r="V6" s="177" t="s">
        <v>72</v>
      </c>
      <c r="W6" s="171"/>
      <c r="X6" s="172" t="s">
        <v>83</v>
      </c>
      <c r="Y6" s="172" t="s">
        <v>83</v>
      </c>
      <c r="Z6" s="173" t="s">
        <v>79</v>
      </c>
      <c r="AA6" s="173"/>
      <c r="AB6" s="172" t="s">
        <v>84</v>
      </c>
      <c r="AC6" s="176" t="s">
        <v>14</v>
      </c>
      <c r="AD6" s="176" t="s">
        <v>16</v>
      </c>
      <c r="AE6" s="176" t="s">
        <v>85</v>
      </c>
    </row>
    <row r="7" spans="1:52" s="140" customFormat="1" ht="15.75">
      <c r="A7" s="166"/>
      <c r="B7" s="178" t="s">
        <v>14</v>
      </c>
      <c r="C7" s="179" t="s">
        <v>16</v>
      </c>
      <c r="D7" s="180" t="s">
        <v>16</v>
      </c>
      <c r="E7" s="178" t="s">
        <v>14</v>
      </c>
      <c r="F7" s="179" t="s">
        <v>16</v>
      </c>
      <c r="G7" s="180" t="s">
        <v>16</v>
      </c>
      <c r="H7" s="178" t="s">
        <v>14</v>
      </c>
      <c r="I7" s="179" t="s">
        <v>16</v>
      </c>
      <c r="J7" s="180" t="s">
        <v>16</v>
      </c>
      <c r="K7" s="179" t="s">
        <v>86</v>
      </c>
      <c r="L7" s="179" t="s">
        <v>86</v>
      </c>
      <c r="M7" s="180" t="s">
        <v>72</v>
      </c>
      <c r="N7" s="178" t="s">
        <v>14</v>
      </c>
      <c r="O7" s="179" t="s">
        <v>16</v>
      </c>
      <c r="P7" s="181" t="s">
        <v>14</v>
      </c>
      <c r="Q7" s="179" t="s">
        <v>16</v>
      </c>
      <c r="R7" s="178" t="s">
        <v>14</v>
      </c>
      <c r="S7" s="179" t="s">
        <v>16</v>
      </c>
      <c r="T7" s="178" t="s">
        <v>86</v>
      </c>
      <c r="U7" s="179" t="s">
        <v>86</v>
      </c>
      <c r="V7" s="182"/>
      <c r="W7" s="178" t="s">
        <v>87</v>
      </c>
      <c r="X7" s="179" t="s">
        <v>88</v>
      </c>
      <c r="Y7" s="179" t="s">
        <v>88</v>
      </c>
      <c r="Z7" s="180" t="s">
        <v>89</v>
      </c>
      <c r="AA7" s="180" t="s">
        <v>72</v>
      </c>
      <c r="AB7" s="179" t="s">
        <v>90</v>
      </c>
      <c r="AC7" s="178" t="s">
        <v>91</v>
      </c>
      <c r="AD7" s="179" t="s">
        <v>91</v>
      </c>
      <c r="AE7" s="179" t="s">
        <v>92</v>
      </c>
    </row>
    <row r="8" spans="1:52" s="186" customFormat="1" ht="18.75" customHeight="1">
      <c r="A8" s="183" t="s">
        <v>93</v>
      </c>
      <c r="B8" s="184" t="s">
        <v>94</v>
      </c>
      <c r="C8" s="184" t="s">
        <v>95</v>
      </c>
      <c r="D8" s="184" t="s">
        <v>96</v>
      </c>
      <c r="E8" s="184" t="s">
        <v>97</v>
      </c>
      <c r="F8" s="184" t="s">
        <v>98</v>
      </c>
      <c r="G8" s="184" t="s">
        <v>99</v>
      </c>
      <c r="H8" s="184" t="s">
        <v>100</v>
      </c>
      <c r="I8" s="184" t="s">
        <v>101</v>
      </c>
      <c r="J8" s="184" t="s">
        <v>102</v>
      </c>
      <c r="K8" s="184" t="s">
        <v>103</v>
      </c>
      <c r="L8" s="184" t="s">
        <v>104</v>
      </c>
      <c r="M8" s="184" t="s">
        <v>105</v>
      </c>
      <c r="N8" s="184" t="s">
        <v>106</v>
      </c>
      <c r="O8" s="184" t="s">
        <v>107</v>
      </c>
      <c r="P8" s="184" t="s">
        <v>108</v>
      </c>
      <c r="Q8" s="184" t="s">
        <v>109</v>
      </c>
      <c r="R8" s="184" t="s">
        <v>110</v>
      </c>
      <c r="S8" s="184" t="s">
        <v>111</v>
      </c>
      <c r="T8" s="184" t="s">
        <v>112</v>
      </c>
      <c r="U8" s="184" t="s">
        <v>113</v>
      </c>
      <c r="V8" s="184" t="s">
        <v>114</v>
      </c>
      <c r="W8" s="184" t="s">
        <v>115</v>
      </c>
      <c r="X8" s="184" t="s">
        <v>116</v>
      </c>
      <c r="Y8" s="184" t="s">
        <v>117</v>
      </c>
      <c r="Z8" s="184" t="s">
        <v>118</v>
      </c>
      <c r="AA8" s="184" t="s">
        <v>119</v>
      </c>
      <c r="AB8" s="184" t="s">
        <v>120</v>
      </c>
      <c r="AC8" s="184" t="s">
        <v>121</v>
      </c>
      <c r="AD8" s="184" t="s">
        <v>122</v>
      </c>
      <c r="AE8" s="184" t="s">
        <v>123</v>
      </c>
      <c r="AF8" s="185"/>
      <c r="AG8" s="185"/>
      <c r="AH8" s="185"/>
      <c r="AI8" s="185"/>
      <c r="AJ8" s="185"/>
      <c r="AK8" s="185"/>
      <c r="AL8" s="185"/>
      <c r="AM8" s="185"/>
      <c r="AN8" s="185"/>
      <c r="AO8" s="185"/>
      <c r="AP8" s="185"/>
      <c r="AQ8" s="185"/>
      <c r="AR8" s="185"/>
      <c r="AS8" s="185"/>
      <c r="AT8" s="185"/>
      <c r="AU8" s="185"/>
      <c r="AV8" s="185"/>
      <c r="AW8" s="185"/>
      <c r="AX8" s="185"/>
    </row>
    <row r="9" spans="1:52" ht="15" customHeight="1">
      <c r="A9" s="187" t="s">
        <v>124</v>
      </c>
      <c r="B9" s="188">
        <v>5920</v>
      </c>
      <c r="C9" s="188">
        <v>230</v>
      </c>
      <c r="D9" s="188">
        <v>11</v>
      </c>
      <c r="E9" s="188">
        <v>51781</v>
      </c>
      <c r="F9" s="188">
        <v>1396</v>
      </c>
      <c r="G9" s="188">
        <v>648</v>
      </c>
      <c r="H9" s="188">
        <v>57701</v>
      </c>
      <c r="I9" s="188">
        <v>1626</v>
      </c>
      <c r="J9" s="188">
        <v>659</v>
      </c>
      <c r="K9" s="188">
        <v>13514</v>
      </c>
      <c r="L9" s="188">
        <v>94733</v>
      </c>
      <c r="M9" s="188">
        <v>108247</v>
      </c>
      <c r="N9" s="188">
        <v>541</v>
      </c>
      <c r="O9" s="188">
        <v>299</v>
      </c>
      <c r="P9" s="188">
        <v>3101</v>
      </c>
      <c r="Q9" s="188">
        <v>1774</v>
      </c>
      <c r="R9" s="188">
        <v>3642</v>
      </c>
      <c r="S9" s="188">
        <v>2073</v>
      </c>
      <c r="T9" s="188">
        <v>19</v>
      </c>
      <c r="U9" s="188">
        <v>874</v>
      </c>
      <c r="V9" s="188">
        <v>893</v>
      </c>
      <c r="W9" s="189" t="s">
        <v>125</v>
      </c>
      <c r="X9" s="189" t="s">
        <v>125</v>
      </c>
      <c r="Y9" s="189" t="s">
        <v>125</v>
      </c>
      <c r="Z9" s="188">
        <v>59986</v>
      </c>
      <c r="AA9" s="188">
        <v>59986</v>
      </c>
      <c r="AB9" s="188">
        <v>0</v>
      </c>
      <c r="AC9" s="188">
        <v>15851718</v>
      </c>
      <c r="AD9" s="188">
        <v>337020</v>
      </c>
      <c r="AE9" s="190">
        <v>16188738</v>
      </c>
    </row>
    <row r="10" spans="1:52" ht="15" customHeight="1">
      <c r="A10" s="187" t="s">
        <v>126</v>
      </c>
      <c r="B10" s="188">
        <v>0</v>
      </c>
      <c r="C10" s="188">
        <v>0</v>
      </c>
      <c r="D10" s="188">
        <v>0</v>
      </c>
      <c r="E10" s="188">
        <v>88</v>
      </c>
      <c r="F10" s="188">
        <v>0</v>
      </c>
      <c r="G10" s="188">
        <v>0</v>
      </c>
      <c r="H10" s="188">
        <v>88</v>
      </c>
      <c r="I10" s="188">
        <v>0</v>
      </c>
      <c r="J10" s="188">
        <v>0</v>
      </c>
      <c r="K10" s="188">
        <v>0</v>
      </c>
      <c r="L10" s="188">
        <v>143</v>
      </c>
      <c r="M10" s="188">
        <v>143</v>
      </c>
      <c r="N10" s="188">
        <v>0</v>
      </c>
      <c r="O10" s="188">
        <v>0</v>
      </c>
      <c r="P10" s="188">
        <v>0</v>
      </c>
      <c r="Q10" s="188">
        <v>0</v>
      </c>
      <c r="R10" s="188">
        <v>0</v>
      </c>
      <c r="S10" s="188">
        <v>0</v>
      </c>
      <c r="T10" s="188">
        <v>0</v>
      </c>
      <c r="U10" s="188">
        <v>0</v>
      </c>
      <c r="V10" s="188">
        <v>0</v>
      </c>
      <c r="W10" s="189" t="s">
        <v>125</v>
      </c>
      <c r="X10" s="189" t="s">
        <v>125</v>
      </c>
      <c r="Y10" s="189" t="s">
        <v>125</v>
      </c>
      <c r="Z10" s="188">
        <v>89</v>
      </c>
      <c r="AA10" s="188">
        <v>89</v>
      </c>
      <c r="AB10" s="188">
        <v>0</v>
      </c>
      <c r="AC10" s="188">
        <v>16576</v>
      </c>
      <c r="AD10" s="188">
        <v>0</v>
      </c>
      <c r="AE10" s="190">
        <v>16576</v>
      </c>
    </row>
    <row r="11" spans="1:52" ht="15" customHeight="1">
      <c r="A11" s="187" t="s">
        <v>127</v>
      </c>
      <c r="B11" s="188">
        <v>137</v>
      </c>
      <c r="C11" s="188">
        <v>0</v>
      </c>
      <c r="D11" s="188">
        <v>0</v>
      </c>
      <c r="E11" s="188">
        <v>1591</v>
      </c>
      <c r="F11" s="188">
        <v>1</v>
      </c>
      <c r="G11" s="188">
        <v>1</v>
      </c>
      <c r="H11" s="188">
        <v>1728</v>
      </c>
      <c r="I11" s="188">
        <v>1</v>
      </c>
      <c r="J11" s="188">
        <v>1</v>
      </c>
      <c r="K11" s="188">
        <v>352</v>
      </c>
      <c r="L11" s="188">
        <v>2912</v>
      </c>
      <c r="M11" s="188">
        <v>3264</v>
      </c>
      <c r="N11" s="188">
        <v>0</v>
      </c>
      <c r="O11" s="188">
        <v>0</v>
      </c>
      <c r="P11" s="188">
        <v>2</v>
      </c>
      <c r="Q11" s="188">
        <v>1</v>
      </c>
      <c r="R11" s="188">
        <v>2</v>
      </c>
      <c r="S11" s="188">
        <v>1</v>
      </c>
      <c r="T11" s="188">
        <v>0</v>
      </c>
      <c r="U11" s="188">
        <v>1</v>
      </c>
      <c r="V11" s="188">
        <v>1</v>
      </c>
      <c r="W11" s="189" t="s">
        <v>125</v>
      </c>
      <c r="X11" s="189" t="s">
        <v>125</v>
      </c>
      <c r="Y11" s="189" t="s">
        <v>125</v>
      </c>
      <c r="Z11" s="188">
        <v>1807</v>
      </c>
      <c r="AA11" s="188">
        <v>1807</v>
      </c>
      <c r="AB11" s="188">
        <v>0</v>
      </c>
      <c r="AC11" s="188">
        <v>433228</v>
      </c>
      <c r="AD11" s="188">
        <v>41</v>
      </c>
      <c r="AE11" s="190">
        <v>433269</v>
      </c>
    </row>
    <row r="12" spans="1:52" ht="15" customHeight="1">
      <c r="A12" s="187" t="s">
        <v>128</v>
      </c>
      <c r="B12" s="188">
        <v>1706</v>
      </c>
      <c r="C12" s="188">
        <v>7</v>
      </c>
      <c r="D12" s="188">
        <v>1</v>
      </c>
      <c r="E12" s="188">
        <v>15084</v>
      </c>
      <c r="F12" s="188">
        <v>39</v>
      </c>
      <c r="G12" s="188">
        <v>32</v>
      </c>
      <c r="H12" s="188">
        <v>16790</v>
      </c>
      <c r="I12" s="188">
        <v>46</v>
      </c>
      <c r="J12" s="188">
        <v>33</v>
      </c>
      <c r="K12" s="188">
        <v>4272</v>
      </c>
      <c r="L12" s="188">
        <v>27335</v>
      </c>
      <c r="M12" s="188">
        <v>31607</v>
      </c>
      <c r="N12" s="188">
        <v>11</v>
      </c>
      <c r="O12" s="188">
        <v>7</v>
      </c>
      <c r="P12" s="188">
        <v>114</v>
      </c>
      <c r="Q12" s="188">
        <v>41</v>
      </c>
      <c r="R12" s="188">
        <v>125</v>
      </c>
      <c r="S12" s="188">
        <v>48</v>
      </c>
      <c r="T12" s="188">
        <v>1</v>
      </c>
      <c r="U12" s="188">
        <v>38</v>
      </c>
      <c r="V12" s="188">
        <v>39</v>
      </c>
      <c r="W12" s="189" t="s">
        <v>125</v>
      </c>
      <c r="X12" s="189" t="s">
        <v>125</v>
      </c>
      <c r="Y12" s="189" t="s">
        <v>125</v>
      </c>
      <c r="Z12" s="188">
        <v>18028</v>
      </c>
      <c r="AA12" s="188">
        <v>18028</v>
      </c>
      <c r="AB12" s="188">
        <v>0</v>
      </c>
      <c r="AC12" s="188">
        <v>4363886</v>
      </c>
      <c r="AD12" s="188">
        <v>11342</v>
      </c>
      <c r="AE12" s="190">
        <v>4375228</v>
      </c>
    </row>
    <row r="13" spans="1:52" ht="15" customHeight="1">
      <c r="A13" s="187" t="s">
        <v>129</v>
      </c>
      <c r="B13" s="188">
        <v>188</v>
      </c>
      <c r="C13" s="188">
        <v>0</v>
      </c>
      <c r="D13" s="188">
        <v>0</v>
      </c>
      <c r="E13" s="188">
        <v>2651</v>
      </c>
      <c r="F13" s="188">
        <v>9</v>
      </c>
      <c r="G13" s="188">
        <v>4</v>
      </c>
      <c r="H13" s="188">
        <v>2839</v>
      </c>
      <c r="I13" s="188">
        <v>9</v>
      </c>
      <c r="J13" s="188">
        <v>4</v>
      </c>
      <c r="K13" s="188">
        <v>505</v>
      </c>
      <c r="L13" s="188">
        <v>4676</v>
      </c>
      <c r="M13" s="188">
        <v>5181</v>
      </c>
      <c r="N13" s="188">
        <v>0</v>
      </c>
      <c r="O13" s="188">
        <v>0</v>
      </c>
      <c r="P13" s="188">
        <v>17</v>
      </c>
      <c r="Q13" s="188">
        <v>12</v>
      </c>
      <c r="R13" s="188">
        <v>17</v>
      </c>
      <c r="S13" s="188">
        <v>12</v>
      </c>
      <c r="T13" s="188">
        <v>0</v>
      </c>
      <c r="U13" s="188">
        <v>6</v>
      </c>
      <c r="V13" s="188">
        <v>6</v>
      </c>
      <c r="W13" s="189" t="s">
        <v>125</v>
      </c>
      <c r="X13" s="189" t="s">
        <v>125</v>
      </c>
      <c r="Y13" s="189" t="s">
        <v>125</v>
      </c>
      <c r="Z13" s="188">
        <v>2998</v>
      </c>
      <c r="AA13" s="188">
        <v>2998</v>
      </c>
      <c r="AB13" s="188">
        <v>0</v>
      </c>
      <c r="AC13" s="188">
        <v>695896</v>
      </c>
      <c r="AD13" s="188">
        <v>1999</v>
      </c>
      <c r="AE13" s="190">
        <v>697895</v>
      </c>
    </row>
    <row r="14" spans="1:52" ht="15" customHeight="1">
      <c r="A14" s="187" t="s">
        <v>130</v>
      </c>
      <c r="B14" s="188">
        <v>70</v>
      </c>
      <c r="C14" s="188">
        <v>1</v>
      </c>
      <c r="D14" s="188">
        <v>0</v>
      </c>
      <c r="E14" s="188">
        <v>557</v>
      </c>
      <c r="F14" s="188">
        <v>2</v>
      </c>
      <c r="G14" s="188">
        <v>2</v>
      </c>
      <c r="H14" s="188">
        <v>627</v>
      </c>
      <c r="I14" s="188">
        <v>3</v>
      </c>
      <c r="J14" s="188">
        <v>2</v>
      </c>
      <c r="K14" s="188">
        <v>184</v>
      </c>
      <c r="L14" s="188">
        <v>1241</v>
      </c>
      <c r="M14" s="188">
        <v>1425</v>
      </c>
      <c r="N14" s="188">
        <v>2</v>
      </c>
      <c r="O14" s="188">
        <v>1</v>
      </c>
      <c r="P14" s="188">
        <v>5</v>
      </c>
      <c r="Q14" s="188">
        <v>3</v>
      </c>
      <c r="R14" s="188">
        <v>7</v>
      </c>
      <c r="S14" s="188">
        <v>4</v>
      </c>
      <c r="T14" s="188">
        <v>0</v>
      </c>
      <c r="U14" s="188">
        <v>2</v>
      </c>
      <c r="V14" s="188">
        <v>2</v>
      </c>
      <c r="W14" s="189" t="s">
        <v>125</v>
      </c>
      <c r="X14" s="189" t="s">
        <v>125</v>
      </c>
      <c r="Y14" s="189" t="s">
        <v>125</v>
      </c>
      <c r="Z14" s="188">
        <v>669</v>
      </c>
      <c r="AA14" s="188">
        <v>669</v>
      </c>
      <c r="AB14" s="188">
        <v>0</v>
      </c>
      <c r="AC14" s="188">
        <v>181535</v>
      </c>
      <c r="AD14" s="188">
        <v>592</v>
      </c>
      <c r="AE14" s="190">
        <v>182127</v>
      </c>
    </row>
    <row r="15" spans="1:52" ht="15" customHeight="1">
      <c r="A15" s="187" t="s">
        <v>131</v>
      </c>
      <c r="B15" s="188">
        <v>3950</v>
      </c>
      <c r="C15" s="188">
        <v>99</v>
      </c>
      <c r="D15" s="188">
        <v>1</v>
      </c>
      <c r="E15" s="188">
        <v>28370</v>
      </c>
      <c r="F15" s="188">
        <v>364</v>
      </c>
      <c r="G15" s="188">
        <v>142</v>
      </c>
      <c r="H15" s="188">
        <v>32320</v>
      </c>
      <c r="I15" s="188">
        <v>463</v>
      </c>
      <c r="J15" s="188">
        <v>143</v>
      </c>
      <c r="K15" s="188">
        <v>9112</v>
      </c>
      <c r="L15" s="188">
        <v>54812</v>
      </c>
      <c r="M15" s="188">
        <v>63924</v>
      </c>
      <c r="N15" s="188">
        <v>229</v>
      </c>
      <c r="O15" s="188">
        <v>140</v>
      </c>
      <c r="P15" s="188">
        <v>892</v>
      </c>
      <c r="Q15" s="188">
        <v>497</v>
      </c>
      <c r="R15" s="188">
        <v>1121</v>
      </c>
      <c r="S15" s="188">
        <v>637</v>
      </c>
      <c r="T15" s="188">
        <v>1</v>
      </c>
      <c r="U15" s="188">
        <v>183</v>
      </c>
      <c r="V15" s="188">
        <v>184</v>
      </c>
      <c r="W15" s="189" t="s">
        <v>125</v>
      </c>
      <c r="X15" s="189" t="s">
        <v>125</v>
      </c>
      <c r="Y15" s="189" t="s">
        <v>125</v>
      </c>
      <c r="Z15" s="188">
        <v>38264</v>
      </c>
      <c r="AA15" s="188">
        <v>38264</v>
      </c>
      <c r="AB15" s="188">
        <v>0</v>
      </c>
      <c r="AC15" s="188">
        <v>9298633</v>
      </c>
      <c r="AD15" s="188">
        <v>85369</v>
      </c>
      <c r="AE15" s="190">
        <v>9384002</v>
      </c>
    </row>
    <row r="16" spans="1:52" s="191" customFormat="1" ht="15" customHeight="1">
      <c r="A16" s="187" t="s">
        <v>132</v>
      </c>
      <c r="B16" s="188">
        <v>371</v>
      </c>
      <c r="C16" s="188">
        <v>0</v>
      </c>
      <c r="D16" s="188">
        <v>0</v>
      </c>
      <c r="E16" s="188">
        <v>2185</v>
      </c>
      <c r="F16" s="188">
        <v>2</v>
      </c>
      <c r="G16" s="188">
        <v>0</v>
      </c>
      <c r="H16" s="188">
        <v>2556</v>
      </c>
      <c r="I16" s="188">
        <v>2</v>
      </c>
      <c r="J16" s="188">
        <v>0</v>
      </c>
      <c r="K16" s="188">
        <v>1054</v>
      </c>
      <c r="L16" s="188">
        <v>4167</v>
      </c>
      <c r="M16" s="188">
        <v>5221</v>
      </c>
      <c r="N16" s="188">
        <v>0</v>
      </c>
      <c r="O16" s="188">
        <v>0</v>
      </c>
      <c r="P16" s="188">
        <v>3</v>
      </c>
      <c r="Q16" s="188">
        <v>2</v>
      </c>
      <c r="R16" s="188">
        <v>3</v>
      </c>
      <c r="S16" s="188">
        <v>2</v>
      </c>
      <c r="T16" s="188">
        <v>0</v>
      </c>
      <c r="U16" s="188">
        <v>0</v>
      </c>
      <c r="V16" s="188">
        <v>0</v>
      </c>
      <c r="W16" s="189" t="s">
        <v>125</v>
      </c>
      <c r="X16" s="189" t="s">
        <v>125</v>
      </c>
      <c r="Y16" s="189" t="s">
        <v>125</v>
      </c>
      <c r="Z16" s="188">
        <v>2676</v>
      </c>
      <c r="AA16" s="188">
        <v>2676</v>
      </c>
      <c r="AB16" s="188">
        <v>0</v>
      </c>
      <c r="AC16" s="188">
        <v>700906</v>
      </c>
      <c r="AD16" s="188">
        <v>134</v>
      </c>
      <c r="AE16" s="190">
        <v>701040</v>
      </c>
      <c r="AY16" s="192"/>
      <c r="AZ16" s="192"/>
    </row>
    <row r="17" spans="1:52" s="191" customFormat="1" ht="15" customHeight="1">
      <c r="A17" s="187" t="s">
        <v>133</v>
      </c>
      <c r="B17" s="188">
        <v>521</v>
      </c>
      <c r="C17" s="188">
        <v>2</v>
      </c>
      <c r="D17" s="188">
        <v>0</v>
      </c>
      <c r="E17" s="188">
        <v>6464</v>
      </c>
      <c r="F17" s="188">
        <v>30</v>
      </c>
      <c r="G17" s="188">
        <v>9</v>
      </c>
      <c r="H17" s="188">
        <v>6985</v>
      </c>
      <c r="I17" s="188">
        <v>32</v>
      </c>
      <c r="J17" s="188">
        <v>9</v>
      </c>
      <c r="K17" s="188">
        <v>1269</v>
      </c>
      <c r="L17" s="188">
        <v>11062</v>
      </c>
      <c r="M17" s="188">
        <v>12331</v>
      </c>
      <c r="N17" s="188">
        <v>5</v>
      </c>
      <c r="O17" s="188">
        <v>2</v>
      </c>
      <c r="P17" s="188">
        <v>82</v>
      </c>
      <c r="Q17" s="188">
        <v>36</v>
      </c>
      <c r="R17" s="188">
        <v>87</v>
      </c>
      <c r="S17" s="188">
        <v>38</v>
      </c>
      <c r="T17" s="188">
        <v>0</v>
      </c>
      <c r="U17" s="188">
        <v>11</v>
      </c>
      <c r="V17" s="188">
        <v>11</v>
      </c>
      <c r="W17" s="189" t="s">
        <v>125</v>
      </c>
      <c r="X17" s="189" t="s">
        <v>125</v>
      </c>
      <c r="Y17" s="189" t="s">
        <v>125</v>
      </c>
      <c r="Z17" s="188">
        <v>7369</v>
      </c>
      <c r="AA17" s="188">
        <v>7369</v>
      </c>
      <c r="AB17" s="188">
        <v>0</v>
      </c>
      <c r="AC17" s="188">
        <v>1679220</v>
      </c>
      <c r="AD17" s="188">
        <v>5426</v>
      </c>
      <c r="AE17" s="190">
        <v>1684646</v>
      </c>
      <c r="AY17" s="192"/>
      <c r="AZ17" s="192"/>
    </row>
    <row r="18" spans="1:52" s="191" customFormat="1" ht="15" customHeight="1">
      <c r="A18" s="187" t="s">
        <v>134</v>
      </c>
      <c r="B18" s="188">
        <v>11896</v>
      </c>
      <c r="C18" s="188">
        <v>173</v>
      </c>
      <c r="D18" s="188">
        <v>12</v>
      </c>
      <c r="E18" s="188">
        <v>79411</v>
      </c>
      <c r="F18" s="188">
        <v>680</v>
      </c>
      <c r="G18" s="188">
        <v>212</v>
      </c>
      <c r="H18" s="188">
        <v>91307</v>
      </c>
      <c r="I18" s="188">
        <v>853</v>
      </c>
      <c r="J18" s="188">
        <v>224</v>
      </c>
      <c r="K18" s="188">
        <v>32229</v>
      </c>
      <c r="L18" s="188">
        <v>179122</v>
      </c>
      <c r="M18" s="188">
        <v>211351</v>
      </c>
      <c r="N18" s="188">
        <v>432</v>
      </c>
      <c r="O18" s="188">
        <v>202</v>
      </c>
      <c r="P18" s="188">
        <v>1852</v>
      </c>
      <c r="Q18" s="188">
        <v>792</v>
      </c>
      <c r="R18" s="188">
        <v>2284</v>
      </c>
      <c r="S18" s="188">
        <v>994</v>
      </c>
      <c r="T18" s="188">
        <v>22</v>
      </c>
      <c r="U18" s="188">
        <v>269</v>
      </c>
      <c r="V18" s="188">
        <v>291</v>
      </c>
      <c r="W18" s="189" t="s">
        <v>125</v>
      </c>
      <c r="X18" s="189" t="s">
        <v>125</v>
      </c>
      <c r="Y18" s="189" t="s">
        <v>125</v>
      </c>
      <c r="Z18" s="188">
        <v>104918</v>
      </c>
      <c r="AA18" s="188">
        <v>104918</v>
      </c>
      <c r="AB18" s="188">
        <v>0</v>
      </c>
      <c r="AC18" s="188">
        <v>31247000</v>
      </c>
      <c r="AD18" s="188">
        <v>168264</v>
      </c>
      <c r="AE18" s="190">
        <v>31415264</v>
      </c>
      <c r="AY18" s="192"/>
      <c r="AZ18" s="192"/>
    </row>
    <row r="19" spans="1:52" s="191" customFormat="1" ht="15" customHeight="1">
      <c r="A19" s="187" t="s">
        <v>135</v>
      </c>
      <c r="B19" s="188">
        <v>212</v>
      </c>
      <c r="C19" s="188">
        <v>2</v>
      </c>
      <c r="D19" s="188">
        <v>0</v>
      </c>
      <c r="E19" s="188">
        <v>1305</v>
      </c>
      <c r="F19" s="188">
        <v>9</v>
      </c>
      <c r="G19" s="188">
        <v>0</v>
      </c>
      <c r="H19" s="188">
        <v>1517</v>
      </c>
      <c r="I19" s="188">
        <v>11</v>
      </c>
      <c r="J19" s="188">
        <v>0</v>
      </c>
      <c r="K19" s="188">
        <v>565</v>
      </c>
      <c r="L19" s="188">
        <v>2910</v>
      </c>
      <c r="M19" s="188">
        <v>3475</v>
      </c>
      <c r="N19" s="188">
        <v>6</v>
      </c>
      <c r="O19" s="188">
        <v>2</v>
      </c>
      <c r="P19" s="188">
        <v>30</v>
      </c>
      <c r="Q19" s="188">
        <v>9</v>
      </c>
      <c r="R19" s="188">
        <v>36</v>
      </c>
      <c r="S19" s="188">
        <v>11</v>
      </c>
      <c r="T19" s="188">
        <v>0</v>
      </c>
      <c r="U19" s="188">
        <v>0</v>
      </c>
      <c r="V19" s="188">
        <v>0</v>
      </c>
      <c r="W19" s="189" t="s">
        <v>125</v>
      </c>
      <c r="X19" s="189" t="s">
        <v>125</v>
      </c>
      <c r="Y19" s="189" t="s">
        <v>125</v>
      </c>
      <c r="Z19" s="188">
        <v>1618</v>
      </c>
      <c r="AA19" s="188">
        <v>1618</v>
      </c>
      <c r="AB19" s="188">
        <v>0</v>
      </c>
      <c r="AC19" s="188">
        <v>428429</v>
      </c>
      <c r="AD19" s="188">
        <v>793</v>
      </c>
      <c r="AE19" s="190">
        <v>429222</v>
      </c>
      <c r="AY19" s="192"/>
      <c r="AZ19" s="192"/>
    </row>
    <row r="20" spans="1:52" s="191" customFormat="1" ht="15" customHeight="1">
      <c r="A20" s="187" t="s">
        <v>136</v>
      </c>
      <c r="B20" s="188">
        <v>880</v>
      </c>
      <c r="C20" s="188">
        <v>0</v>
      </c>
      <c r="D20" s="188">
        <v>0</v>
      </c>
      <c r="E20" s="188">
        <v>11551</v>
      </c>
      <c r="F20" s="188">
        <v>27</v>
      </c>
      <c r="G20" s="188">
        <v>7</v>
      </c>
      <c r="H20" s="188">
        <v>12431</v>
      </c>
      <c r="I20" s="188">
        <v>27</v>
      </c>
      <c r="J20" s="188">
        <v>7</v>
      </c>
      <c r="K20" s="188">
        <v>2189</v>
      </c>
      <c r="L20" s="188">
        <v>18761</v>
      </c>
      <c r="M20" s="188">
        <v>20950</v>
      </c>
      <c r="N20" s="188">
        <v>0</v>
      </c>
      <c r="O20" s="188">
        <v>0</v>
      </c>
      <c r="P20" s="188">
        <v>60</v>
      </c>
      <c r="Q20" s="188">
        <v>30</v>
      </c>
      <c r="R20" s="188">
        <v>60</v>
      </c>
      <c r="S20" s="188">
        <v>30</v>
      </c>
      <c r="T20" s="188">
        <v>0</v>
      </c>
      <c r="U20" s="188">
        <v>9</v>
      </c>
      <c r="V20" s="188">
        <v>9</v>
      </c>
      <c r="W20" s="189" t="s">
        <v>125</v>
      </c>
      <c r="X20" s="189" t="s">
        <v>125</v>
      </c>
      <c r="Y20" s="189" t="s">
        <v>125</v>
      </c>
      <c r="Z20" s="188">
        <v>13358</v>
      </c>
      <c r="AA20" s="188">
        <v>13358</v>
      </c>
      <c r="AB20" s="188">
        <v>0</v>
      </c>
      <c r="AC20" s="188">
        <v>2967001</v>
      </c>
      <c r="AD20" s="188">
        <v>5399</v>
      </c>
      <c r="AE20" s="190">
        <v>2972400</v>
      </c>
      <c r="AY20" s="192"/>
      <c r="AZ20" s="192"/>
    </row>
    <row r="21" spans="1:52" s="191" customFormat="1" ht="15" customHeight="1">
      <c r="A21" s="187" t="s">
        <v>137</v>
      </c>
      <c r="B21" s="188">
        <v>2296</v>
      </c>
      <c r="C21" s="188">
        <v>28</v>
      </c>
      <c r="D21" s="188">
        <v>4</v>
      </c>
      <c r="E21" s="188">
        <v>14981</v>
      </c>
      <c r="F21" s="188">
        <v>331</v>
      </c>
      <c r="G21" s="188">
        <v>54</v>
      </c>
      <c r="H21" s="188">
        <v>17277</v>
      </c>
      <c r="I21" s="188">
        <v>359</v>
      </c>
      <c r="J21" s="188">
        <v>58</v>
      </c>
      <c r="K21" s="188">
        <v>6505</v>
      </c>
      <c r="L21" s="188">
        <v>35133</v>
      </c>
      <c r="M21" s="188">
        <v>41638</v>
      </c>
      <c r="N21" s="188">
        <v>75</v>
      </c>
      <c r="O21" s="188">
        <v>28</v>
      </c>
      <c r="P21" s="188">
        <v>887</v>
      </c>
      <c r="Q21" s="188">
        <v>367</v>
      </c>
      <c r="R21" s="188">
        <v>962</v>
      </c>
      <c r="S21" s="188">
        <v>395</v>
      </c>
      <c r="T21" s="188">
        <v>5</v>
      </c>
      <c r="U21" s="188">
        <v>62</v>
      </c>
      <c r="V21" s="188">
        <v>67</v>
      </c>
      <c r="W21" s="189" t="s">
        <v>125</v>
      </c>
      <c r="X21" s="189" t="s">
        <v>125</v>
      </c>
      <c r="Y21" s="189" t="s">
        <v>125</v>
      </c>
      <c r="Z21" s="188">
        <v>18600</v>
      </c>
      <c r="AA21" s="188">
        <v>18600</v>
      </c>
      <c r="AB21" s="188">
        <v>0</v>
      </c>
      <c r="AC21" s="188">
        <v>5479702</v>
      </c>
      <c r="AD21" s="188">
        <v>49748</v>
      </c>
      <c r="AE21" s="190">
        <v>5529450</v>
      </c>
      <c r="AY21" s="192"/>
      <c r="AZ21" s="192"/>
    </row>
    <row r="22" spans="1:52" s="191" customFormat="1" ht="15" customHeight="1">
      <c r="A22" s="187" t="s">
        <v>138</v>
      </c>
      <c r="B22" s="188">
        <v>92</v>
      </c>
      <c r="C22" s="188">
        <v>1</v>
      </c>
      <c r="D22" s="188">
        <v>0</v>
      </c>
      <c r="E22" s="188">
        <v>929</v>
      </c>
      <c r="F22" s="188">
        <v>5</v>
      </c>
      <c r="G22" s="188">
        <v>2</v>
      </c>
      <c r="H22" s="188">
        <v>1021</v>
      </c>
      <c r="I22" s="188">
        <v>6</v>
      </c>
      <c r="J22" s="188">
        <v>2</v>
      </c>
      <c r="K22" s="188">
        <v>246</v>
      </c>
      <c r="L22" s="188">
        <v>1688</v>
      </c>
      <c r="M22" s="188">
        <v>1934</v>
      </c>
      <c r="N22" s="188">
        <v>3</v>
      </c>
      <c r="O22" s="188">
        <v>1</v>
      </c>
      <c r="P22" s="188">
        <v>10</v>
      </c>
      <c r="Q22" s="188">
        <v>6</v>
      </c>
      <c r="R22" s="188">
        <v>13</v>
      </c>
      <c r="S22" s="188">
        <v>7</v>
      </c>
      <c r="T22" s="188">
        <v>0</v>
      </c>
      <c r="U22" s="188">
        <v>2</v>
      </c>
      <c r="V22" s="188">
        <v>2</v>
      </c>
      <c r="W22" s="189" t="s">
        <v>125</v>
      </c>
      <c r="X22" s="189" t="s">
        <v>125</v>
      </c>
      <c r="Y22" s="189" t="s">
        <v>125</v>
      </c>
      <c r="Z22" s="188">
        <v>1079</v>
      </c>
      <c r="AA22" s="188">
        <v>1079</v>
      </c>
      <c r="AB22" s="188">
        <v>0</v>
      </c>
      <c r="AC22" s="188">
        <v>251483</v>
      </c>
      <c r="AD22" s="188">
        <v>703</v>
      </c>
      <c r="AE22" s="190">
        <v>252186</v>
      </c>
      <c r="AY22" s="192"/>
      <c r="AZ22" s="192"/>
    </row>
    <row r="23" spans="1:52" s="191" customFormat="1" ht="15" customHeight="1">
      <c r="A23" s="187" t="s">
        <v>139</v>
      </c>
      <c r="B23" s="188">
        <v>9664</v>
      </c>
      <c r="C23" s="188">
        <v>44</v>
      </c>
      <c r="D23" s="188">
        <v>0</v>
      </c>
      <c r="E23" s="188">
        <v>59786</v>
      </c>
      <c r="F23" s="188">
        <v>415</v>
      </c>
      <c r="G23" s="188">
        <v>278</v>
      </c>
      <c r="H23" s="188">
        <v>69450</v>
      </c>
      <c r="I23" s="188">
        <v>459</v>
      </c>
      <c r="J23" s="188">
        <v>278</v>
      </c>
      <c r="K23" s="188">
        <v>25952</v>
      </c>
      <c r="L23" s="188">
        <v>134765</v>
      </c>
      <c r="M23" s="188">
        <v>160717</v>
      </c>
      <c r="N23" s="188">
        <v>109</v>
      </c>
      <c r="O23" s="188">
        <v>50</v>
      </c>
      <c r="P23" s="188">
        <v>1136</v>
      </c>
      <c r="Q23" s="188">
        <v>469</v>
      </c>
      <c r="R23" s="188">
        <v>1245</v>
      </c>
      <c r="S23" s="188">
        <v>519</v>
      </c>
      <c r="T23" s="188">
        <v>0</v>
      </c>
      <c r="U23" s="188">
        <v>428</v>
      </c>
      <c r="V23" s="188">
        <v>428</v>
      </c>
      <c r="W23" s="189" t="s">
        <v>125</v>
      </c>
      <c r="X23" s="189" t="s">
        <v>125</v>
      </c>
      <c r="Y23" s="189" t="s">
        <v>125</v>
      </c>
      <c r="Z23" s="188">
        <v>74150</v>
      </c>
      <c r="AA23" s="188">
        <v>74150</v>
      </c>
      <c r="AB23" s="188">
        <v>0</v>
      </c>
      <c r="AC23" s="188">
        <v>21616303</v>
      </c>
      <c r="AD23" s="188">
        <v>124747</v>
      </c>
      <c r="AE23" s="190">
        <v>21741050</v>
      </c>
      <c r="AY23" s="192"/>
      <c r="AZ23" s="192"/>
    </row>
    <row r="24" spans="1:52" s="191" customFormat="1" ht="15" customHeight="1">
      <c r="A24" s="187" t="s">
        <v>140</v>
      </c>
      <c r="B24" s="188">
        <v>1427</v>
      </c>
      <c r="C24" s="188">
        <v>18</v>
      </c>
      <c r="D24" s="188">
        <v>3</v>
      </c>
      <c r="E24" s="188">
        <v>9121</v>
      </c>
      <c r="F24" s="188">
        <v>107</v>
      </c>
      <c r="G24" s="188">
        <v>20</v>
      </c>
      <c r="H24" s="188">
        <v>10548</v>
      </c>
      <c r="I24" s="188">
        <v>125</v>
      </c>
      <c r="J24" s="188">
        <v>23</v>
      </c>
      <c r="K24" s="188">
        <v>3905</v>
      </c>
      <c r="L24" s="188">
        <v>19835</v>
      </c>
      <c r="M24" s="188">
        <v>23740</v>
      </c>
      <c r="N24" s="188">
        <v>47</v>
      </c>
      <c r="O24" s="188">
        <v>18</v>
      </c>
      <c r="P24" s="188">
        <v>324</v>
      </c>
      <c r="Q24" s="188">
        <v>112</v>
      </c>
      <c r="R24" s="188">
        <v>371</v>
      </c>
      <c r="S24" s="188">
        <v>130</v>
      </c>
      <c r="T24" s="188">
        <v>3</v>
      </c>
      <c r="U24" s="188">
        <v>23</v>
      </c>
      <c r="V24" s="188">
        <v>26</v>
      </c>
      <c r="W24" s="189" t="s">
        <v>125</v>
      </c>
      <c r="X24" s="189" t="s">
        <v>125</v>
      </c>
      <c r="Y24" s="189" t="s">
        <v>125</v>
      </c>
      <c r="Z24" s="188">
        <v>11316</v>
      </c>
      <c r="AA24" s="188">
        <v>11316</v>
      </c>
      <c r="AB24" s="188">
        <v>0</v>
      </c>
      <c r="AC24" s="188">
        <v>3084092</v>
      </c>
      <c r="AD24" s="188">
        <v>16124</v>
      </c>
      <c r="AE24" s="190">
        <v>3100216</v>
      </c>
      <c r="AY24" s="192"/>
      <c r="AZ24" s="192"/>
    </row>
    <row r="25" spans="1:52" s="191" customFormat="1" ht="15" customHeight="1">
      <c r="A25" s="187" t="s">
        <v>141</v>
      </c>
      <c r="B25" s="188">
        <v>573</v>
      </c>
      <c r="C25" s="188">
        <v>2</v>
      </c>
      <c r="D25" s="188">
        <v>0</v>
      </c>
      <c r="E25" s="188">
        <v>5915</v>
      </c>
      <c r="F25" s="188">
        <v>23</v>
      </c>
      <c r="G25" s="188">
        <v>6</v>
      </c>
      <c r="H25" s="188">
        <v>6488</v>
      </c>
      <c r="I25" s="188">
        <v>25</v>
      </c>
      <c r="J25" s="188">
        <v>6</v>
      </c>
      <c r="K25" s="188">
        <v>1437</v>
      </c>
      <c r="L25" s="188">
        <v>10732</v>
      </c>
      <c r="M25" s="188">
        <v>12169</v>
      </c>
      <c r="N25" s="188">
        <v>5</v>
      </c>
      <c r="O25" s="188">
        <v>2</v>
      </c>
      <c r="P25" s="188">
        <v>57</v>
      </c>
      <c r="Q25" s="188">
        <v>26</v>
      </c>
      <c r="R25" s="188">
        <v>62</v>
      </c>
      <c r="S25" s="188">
        <v>28</v>
      </c>
      <c r="T25" s="188">
        <v>0</v>
      </c>
      <c r="U25" s="188">
        <v>8</v>
      </c>
      <c r="V25" s="188">
        <v>8</v>
      </c>
      <c r="W25" s="189" t="s">
        <v>125</v>
      </c>
      <c r="X25" s="189" t="s">
        <v>125</v>
      </c>
      <c r="Y25" s="189" t="s">
        <v>125</v>
      </c>
      <c r="Z25" s="188">
        <v>6834</v>
      </c>
      <c r="AA25" s="188">
        <v>6834</v>
      </c>
      <c r="AB25" s="188">
        <v>0</v>
      </c>
      <c r="AC25" s="188">
        <v>1652146</v>
      </c>
      <c r="AD25" s="188">
        <v>3159</v>
      </c>
      <c r="AE25" s="190">
        <v>1655305</v>
      </c>
      <c r="AY25" s="192"/>
      <c r="AZ25" s="192"/>
    </row>
    <row r="26" spans="1:52" s="191" customFormat="1" ht="15" customHeight="1">
      <c r="A26" s="187" t="s">
        <v>142</v>
      </c>
      <c r="B26" s="188">
        <v>226</v>
      </c>
      <c r="C26" s="188">
        <v>0</v>
      </c>
      <c r="D26" s="188">
        <v>0</v>
      </c>
      <c r="E26" s="188">
        <v>1349</v>
      </c>
      <c r="F26" s="188">
        <v>3</v>
      </c>
      <c r="G26" s="188">
        <v>0</v>
      </c>
      <c r="H26" s="188">
        <v>1575</v>
      </c>
      <c r="I26" s="188">
        <v>3</v>
      </c>
      <c r="J26" s="188">
        <v>0</v>
      </c>
      <c r="K26" s="188">
        <v>624</v>
      </c>
      <c r="L26" s="188">
        <v>2486</v>
      </c>
      <c r="M26" s="188">
        <v>3110</v>
      </c>
      <c r="N26" s="188">
        <v>0</v>
      </c>
      <c r="O26" s="188">
        <v>0</v>
      </c>
      <c r="P26" s="188">
        <v>6</v>
      </c>
      <c r="Q26" s="188">
        <v>4</v>
      </c>
      <c r="R26" s="188">
        <v>6</v>
      </c>
      <c r="S26" s="188">
        <v>4</v>
      </c>
      <c r="T26" s="188">
        <v>0</v>
      </c>
      <c r="U26" s="188">
        <v>0</v>
      </c>
      <c r="V26" s="188">
        <v>0</v>
      </c>
      <c r="W26" s="189" t="s">
        <v>125</v>
      </c>
      <c r="X26" s="189" t="s">
        <v>125</v>
      </c>
      <c r="Y26" s="189" t="s">
        <v>125</v>
      </c>
      <c r="Z26" s="188">
        <v>1668</v>
      </c>
      <c r="AA26" s="188">
        <v>1668</v>
      </c>
      <c r="AB26" s="188">
        <v>0</v>
      </c>
      <c r="AC26" s="188">
        <v>436425</v>
      </c>
      <c r="AD26" s="188">
        <v>0</v>
      </c>
      <c r="AE26" s="190">
        <v>436425</v>
      </c>
      <c r="AY26" s="192"/>
      <c r="AZ26" s="192"/>
    </row>
    <row r="27" spans="1:52" s="191" customFormat="1" ht="15" customHeight="1">
      <c r="A27" s="187" t="s">
        <v>143</v>
      </c>
      <c r="B27" s="188">
        <v>88999</v>
      </c>
      <c r="C27" s="188">
        <v>2313</v>
      </c>
      <c r="D27" s="188">
        <v>237</v>
      </c>
      <c r="E27" s="188">
        <v>450875</v>
      </c>
      <c r="F27" s="188">
        <v>5196</v>
      </c>
      <c r="G27" s="188">
        <v>3148</v>
      </c>
      <c r="H27" s="188">
        <v>539874</v>
      </c>
      <c r="I27" s="188">
        <v>7509</v>
      </c>
      <c r="J27" s="188">
        <v>3385</v>
      </c>
      <c r="K27" s="188">
        <v>217511</v>
      </c>
      <c r="L27" s="188">
        <v>859902</v>
      </c>
      <c r="M27" s="188">
        <v>1077413</v>
      </c>
      <c r="N27" s="188">
        <v>4846</v>
      </c>
      <c r="O27" s="188">
        <v>3135</v>
      </c>
      <c r="P27" s="188">
        <v>11933</v>
      </c>
      <c r="Q27" s="188">
        <v>6400</v>
      </c>
      <c r="R27" s="188">
        <v>16779</v>
      </c>
      <c r="S27" s="188">
        <v>9535</v>
      </c>
      <c r="T27" s="188">
        <v>288</v>
      </c>
      <c r="U27" s="188">
        <v>4026</v>
      </c>
      <c r="V27" s="188">
        <v>4314</v>
      </c>
      <c r="W27" s="189" t="s">
        <v>125</v>
      </c>
      <c r="X27" s="189" t="s">
        <v>125</v>
      </c>
      <c r="Y27" s="189" t="s">
        <v>125</v>
      </c>
      <c r="Z27" s="188">
        <v>586650</v>
      </c>
      <c r="AA27" s="188">
        <v>586650</v>
      </c>
      <c r="AB27" s="188">
        <v>0</v>
      </c>
      <c r="AC27" s="188">
        <v>160874403</v>
      </c>
      <c r="AD27" s="188">
        <v>1810268</v>
      </c>
      <c r="AE27" s="190">
        <v>162684671</v>
      </c>
      <c r="AY27" s="192"/>
      <c r="AZ27" s="192"/>
    </row>
    <row r="28" spans="1:52" s="191" customFormat="1" ht="15" customHeight="1">
      <c r="A28" s="187" t="s">
        <v>144</v>
      </c>
      <c r="B28" s="188">
        <v>1594</v>
      </c>
      <c r="C28" s="188">
        <v>10</v>
      </c>
      <c r="D28" s="188">
        <v>1</v>
      </c>
      <c r="E28" s="188">
        <v>10106</v>
      </c>
      <c r="F28" s="188">
        <v>54</v>
      </c>
      <c r="G28" s="188">
        <v>5</v>
      </c>
      <c r="H28" s="188">
        <v>11700</v>
      </c>
      <c r="I28" s="188">
        <v>64</v>
      </c>
      <c r="J28" s="188">
        <v>6</v>
      </c>
      <c r="K28" s="188">
        <v>4359</v>
      </c>
      <c r="L28" s="188">
        <v>24004</v>
      </c>
      <c r="M28" s="188">
        <v>28363</v>
      </c>
      <c r="N28" s="188">
        <v>30</v>
      </c>
      <c r="O28" s="188">
        <v>10</v>
      </c>
      <c r="P28" s="188">
        <v>169</v>
      </c>
      <c r="Q28" s="188">
        <v>57</v>
      </c>
      <c r="R28" s="188">
        <v>199</v>
      </c>
      <c r="S28" s="188">
        <v>67</v>
      </c>
      <c r="T28" s="188">
        <v>1</v>
      </c>
      <c r="U28" s="188">
        <v>7</v>
      </c>
      <c r="V28" s="188">
        <v>8</v>
      </c>
      <c r="W28" s="189" t="s">
        <v>125</v>
      </c>
      <c r="X28" s="189" t="s">
        <v>125</v>
      </c>
      <c r="Y28" s="189" t="s">
        <v>125</v>
      </c>
      <c r="Z28" s="188">
        <v>9044</v>
      </c>
      <c r="AA28" s="188">
        <v>9044</v>
      </c>
      <c r="AB28" s="188">
        <v>0</v>
      </c>
      <c r="AC28" s="188">
        <v>3714968</v>
      </c>
      <c r="AD28" s="188">
        <v>6285</v>
      </c>
      <c r="AE28" s="190">
        <v>3721253</v>
      </c>
      <c r="AY28" s="192"/>
      <c r="AZ28" s="192"/>
    </row>
    <row r="29" spans="1:52" s="191" customFormat="1" ht="15" customHeight="1">
      <c r="A29" s="187" t="s">
        <v>145</v>
      </c>
      <c r="B29" s="188">
        <v>517</v>
      </c>
      <c r="C29" s="188">
        <v>32</v>
      </c>
      <c r="D29" s="188">
        <v>3</v>
      </c>
      <c r="E29" s="188">
        <v>5341</v>
      </c>
      <c r="F29" s="188">
        <v>213</v>
      </c>
      <c r="G29" s="188">
        <v>63</v>
      </c>
      <c r="H29" s="188">
        <v>5858</v>
      </c>
      <c r="I29" s="188">
        <v>245</v>
      </c>
      <c r="J29" s="188">
        <v>66</v>
      </c>
      <c r="K29" s="188">
        <v>1122</v>
      </c>
      <c r="L29" s="188">
        <v>8193</v>
      </c>
      <c r="M29" s="188">
        <v>9315</v>
      </c>
      <c r="N29" s="188">
        <v>68</v>
      </c>
      <c r="O29" s="188">
        <v>36</v>
      </c>
      <c r="P29" s="188">
        <v>423</v>
      </c>
      <c r="Q29" s="188">
        <v>263</v>
      </c>
      <c r="R29" s="188">
        <v>491</v>
      </c>
      <c r="S29" s="188">
        <v>299</v>
      </c>
      <c r="T29" s="188">
        <v>3</v>
      </c>
      <c r="U29" s="188">
        <v>77</v>
      </c>
      <c r="V29" s="188">
        <v>80</v>
      </c>
      <c r="W29" s="189" t="s">
        <v>125</v>
      </c>
      <c r="X29" s="189" t="s">
        <v>125</v>
      </c>
      <c r="Y29" s="189" t="s">
        <v>125</v>
      </c>
      <c r="Z29" s="188">
        <v>6384</v>
      </c>
      <c r="AA29" s="188">
        <v>6384</v>
      </c>
      <c r="AB29" s="188">
        <v>0</v>
      </c>
      <c r="AC29" s="188">
        <v>1390096</v>
      </c>
      <c r="AD29" s="188">
        <v>32106</v>
      </c>
      <c r="AE29" s="190">
        <v>1422202</v>
      </c>
      <c r="AY29" s="192"/>
      <c r="AZ29" s="192"/>
    </row>
    <row r="30" spans="1:52" s="191" customFormat="1" ht="15" customHeight="1">
      <c r="A30" s="187" t="s">
        <v>146</v>
      </c>
      <c r="B30" s="188">
        <v>92</v>
      </c>
      <c r="C30" s="188">
        <v>0</v>
      </c>
      <c r="D30" s="188">
        <v>0</v>
      </c>
      <c r="E30" s="188">
        <v>944</v>
      </c>
      <c r="F30" s="188">
        <v>3</v>
      </c>
      <c r="G30" s="188">
        <v>2</v>
      </c>
      <c r="H30" s="188">
        <v>1036</v>
      </c>
      <c r="I30" s="188">
        <v>3</v>
      </c>
      <c r="J30" s="188">
        <v>2</v>
      </c>
      <c r="K30" s="188">
        <v>252</v>
      </c>
      <c r="L30" s="188">
        <v>1674</v>
      </c>
      <c r="M30" s="188">
        <v>1926</v>
      </c>
      <c r="N30" s="188">
        <v>0</v>
      </c>
      <c r="O30" s="188">
        <v>0</v>
      </c>
      <c r="P30" s="188">
        <v>4</v>
      </c>
      <c r="Q30" s="188">
        <v>3</v>
      </c>
      <c r="R30" s="188">
        <v>4</v>
      </c>
      <c r="S30" s="188">
        <v>3</v>
      </c>
      <c r="T30" s="188">
        <v>0</v>
      </c>
      <c r="U30" s="188">
        <v>2</v>
      </c>
      <c r="V30" s="188">
        <v>2</v>
      </c>
      <c r="W30" s="189" t="s">
        <v>125</v>
      </c>
      <c r="X30" s="189" t="s">
        <v>125</v>
      </c>
      <c r="Y30" s="189" t="s">
        <v>125</v>
      </c>
      <c r="Z30" s="188">
        <v>1107</v>
      </c>
      <c r="AA30" s="188">
        <v>1107</v>
      </c>
      <c r="AB30" s="188">
        <v>0</v>
      </c>
      <c r="AC30" s="188">
        <v>259180</v>
      </c>
      <c r="AD30" s="188">
        <v>778</v>
      </c>
      <c r="AE30" s="190">
        <v>259958</v>
      </c>
      <c r="AY30" s="192"/>
      <c r="AZ30" s="192"/>
    </row>
    <row r="31" spans="1:52" s="191" customFormat="1" ht="15" customHeight="1">
      <c r="A31" s="187" t="s">
        <v>147</v>
      </c>
      <c r="B31" s="188">
        <v>581</v>
      </c>
      <c r="C31" s="188">
        <v>6</v>
      </c>
      <c r="D31" s="188">
        <v>1</v>
      </c>
      <c r="E31" s="188">
        <v>5927</v>
      </c>
      <c r="F31" s="188">
        <v>34</v>
      </c>
      <c r="G31" s="188">
        <v>10</v>
      </c>
      <c r="H31" s="188">
        <v>6508</v>
      </c>
      <c r="I31" s="188">
        <v>40</v>
      </c>
      <c r="J31" s="188">
        <v>11</v>
      </c>
      <c r="K31" s="188">
        <v>2468</v>
      </c>
      <c r="L31" s="188">
        <v>10624</v>
      </c>
      <c r="M31" s="188">
        <v>13092</v>
      </c>
      <c r="N31" s="188">
        <v>16</v>
      </c>
      <c r="O31" s="188">
        <v>6</v>
      </c>
      <c r="P31" s="188">
        <v>87</v>
      </c>
      <c r="Q31" s="188">
        <v>35</v>
      </c>
      <c r="R31" s="188">
        <v>103</v>
      </c>
      <c r="S31" s="188">
        <v>41</v>
      </c>
      <c r="T31" s="188">
        <v>1</v>
      </c>
      <c r="U31" s="188">
        <v>12</v>
      </c>
      <c r="V31" s="188">
        <v>13</v>
      </c>
      <c r="W31" s="189" t="s">
        <v>125</v>
      </c>
      <c r="X31" s="189" t="s">
        <v>125</v>
      </c>
      <c r="Y31" s="189" t="s">
        <v>125</v>
      </c>
      <c r="Z31" s="188">
        <v>6932</v>
      </c>
      <c r="AA31" s="188">
        <v>6932</v>
      </c>
      <c r="AB31" s="188">
        <v>0</v>
      </c>
      <c r="AC31" s="188">
        <v>1717510</v>
      </c>
      <c r="AD31" s="188">
        <v>5981</v>
      </c>
      <c r="AE31" s="190">
        <v>1723491</v>
      </c>
      <c r="AY31" s="192"/>
      <c r="AZ31" s="192"/>
    </row>
    <row r="32" spans="1:52" s="191" customFormat="1" ht="15" customHeight="1">
      <c r="A32" s="187" t="s">
        <v>148</v>
      </c>
      <c r="B32" s="188">
        <v>3626</v>
      </c>
      <c r="C32" s="188">
        <v>19</v>
      </c>
      <c r="D32" s="188">
        <v>1</v>
      </c>
      <c r="E32" s="188">
        <v>20132</v>
      </c>
      <c r="F32" s="188">
        <v>76</v>
      </c>
      <c r="G32" s="188">
        <v>12</v>
      </c>
      <c r="H32" s="188">
        <v>23758</v>
      </c>
      <c r="I32" s="188">
        <v>95</v>
      </c>
      <c r="J32" s="188">
        <v>13</v>
      </c>
      <c r="K32" s="188">
        <v>9610</v>
      </c>
      <c r="L32" s="188">
        <v>45135</v>
      </c>
      <c r="M32" s="188">
        <v>54745</v>
      </c>
      <c r="N32" s="188">
        <v>38</v>
      </c>
      <c r="O32" s="188">
        <v>20</v>
      </c>
      <c r="P32" s="188">
        <v>209</v>
      </c>
      <c r="Q32" s="188">
        <v>85</v>
      </c>
      <c r="R32" s="188">
        <v>247</v>
      </c>
      <c r="S32" s="188">
        <v>105</v>
      </c>
      <c r="T32" s="188">
        <v>1</v>
      </c>
      <c r="U32" s="188">
        <v>14</v>
      </c>
      <c r="V32" s="188">
        <v>15</v>
      </c>
      <c r="W32" s="189" t="s">
        <v>125</v>
      </c>
      <c r="X32" s="189" t="s">
        <v>125</v>
      </c>
      <c r="Y32" s="189" t="s">
        <v>125</v>
      </c>
      <c r="Z32" s="188">
        <v>25017</v>
      </c>
      <c r="AA32" s="188">
        <v>25017</v>
      </c>
      <c r="AB32" s="188">
        <v>0</v>
      </c>
      <c r="AC32" s="188">
        <v>7271561</v>
      </c>
      <c r="AD32" s="188">
        <v>10711</v>
      </c>
      <c r="AE32" s="190">
        <v>7282272</v>
      </c>
      <c r="AY32" s="192"/>
      <c r="AZ32" s="192"/>
    </row>
    <row r="33" spans="1:52" s="191" customFormat="1" ht="15" customHeight="1">
      <c r="A33" s="187" t="s">
        <v>149</v>
      </c>
      <c r="B33" s="188">
        <v>70</v>
      </c>
      <c r="C33" s="188">
        <v>1</v>
      </c>
      <c r="D33" s="188">
        <v>0</v>
      </c>
      <c r="E33" s="188">
        <v>468</v>
      </c>
      <c r="F33" s="188">
        <v>0</v>
      </c>
      <c r="G33" s="188">
        <v>0</v>
      </c>
      <c r="H33" s="188">
        <v>538</v>
      </c>
      <c r="I33" s="188">
        <v>1</v>
      </c>
      <c r="J33" s="188">
        <v>0</v>
      </c>
      <c r="K33" s="188">
        <v>175</v>
      </c>
      <c r="L33" s="188">
        <v>932</v>
      </c>
      <c r="M33" s="188">
        <v>1107</v>
      </c>
      <c r="N33" s="188">
        <v>1</v>
      </c>
      <c r="O33" s="188">
        <v>1</v>
      </c>
      <c r="P33" s="188">
        <v>0</v>
      </c>
      <c r="Q33" s="188">
        <v>0</v>
      </c>
      <c r="R33" s="188">
        <v>1</v>
      </c>
      <c r="S33" s="188">
        <v>1</v>
      </c>
      <c r="T33" s="188">
        <v>0</v>
      </c>
      <c r="U33" s="188">
        <v>0</v>
      </c>
      <c r="V33" s="188">
        <v>0</v>
      </c>
      <c r="W33" s="189" t="s">
        <v>125</v>
      </c>
      <c r="X33" s="189" t="s">
        <v>125</v>
      </c>
      <c r="Y33" s="189" t="s">
        <v>125</v>
      </c>
      <c r="Z33" s="188">
        <v>578</v>
      </c>
      <c r="AA33" s="188">
        <v>578</v>
      </c>
      <c r="AB33" s="188">
        <v>0</v>
      </c>
      <c r="AC33" s="188">
        <v>146036</v>
      </c>
      <c r="AD33" s="188">
        <v>119</v>
      </c>
      <c r="AE33" s="190">
        <v>146155</v>
      </c>
      <c r="AY33" s="192"/>
      <c r="AZ33" s="192"/>
    </row>
    <row r="34" spans="1:52" s="191" customFormat="1" ht="15" customHeight="1">
      <c r="A34" s="187" t="s">
        <v>150</v>
      </c>
      <c r="B34" s="188">
        <v>14</v>
      </c>
      <c r="C34" s="188">
        <v>0</v>
      </c>
      <c r="D34" s="188">
        <v>0</v>
      </c>
      <c r="E34" s="188">
        <v>455</v>
      </c>
      <c r="F34" s="188">
        <v>4</v>
      </c>
      <c r="G34" s="188">
        <v>0</v>
      </c>
      <c r="H34" s="188">
        <v>469</v>
      </c>
      <c r="I34" s="188">
        <v>4</v>
      </c>
      <c r="J34" s="188">
        <v>0</v>
      </c>
      <c r="K34" s="188">
        <v>37</v>
      </c>
      <c r="L34" s="188">
        <v>766</v>
      </c>
      <c r="M34" s="188">
        <v>803</v>
      </c>
      <c r="N34" s="188">
        <v>0</v>
      </c>
      <c r="O34" s="188">
        <v>0</v>
      </c>
      <c r="P34" s="188">
        <v>11</v>
      </c>
      <c r="Q34" s="188">
        <v>4</v>
      </c>
      <c r="R34" s="188">
        <v>11</v>
      </c>
      <c r="S34" s="188">
        <v>4</v>
      </c>
      <c r="T34" s="188">
        <v>0</v>
      </c>
      <c r="U34" s="188">
        <v>0</v>
      </c>
      <c r="V34" s="188">
        <v>0</v>
      </c>
      <c r="W34" s="189" t="s">
        <v>125</v>
      </c>
      <c r="X34" s="189" t="s">
        <v>125</v>
      </c>
      <c r="Y34" s="189" t="s">
        <v>125</v>
      </c>
      <c r="Z34" s="188">
        <v>516</v>
      </c>
      <c r="AA34" s="188">
        <v>516</v>
      </c>
      <c r="AB34" s="188">
        <v>0</v>
      </c>
      <c r="AC34" s="188">
        <v>108859</v>
      </c>
      <c r="AD34" s="188">
        <v>308</v>
      </c>
      <c r="AE34" s="190">
        <v>109167</v>
      </c>
      <c r="AY34" s="192"/>
      <c r="AZ34" s="192"/>
    </row>
    <row r="35" spans="1:52" s="191" customFormat="1" ht="15" customHeight="1">
      <c r="A35" s="187" t="s">
        <v>151</v>
      </c>
      <c r="B35" s="188">
        <v>2034</v>
      </c>
      <c r="C35" s="188">
        <v>27</v>
      </c>
      <c r="D35" s="188">
        <v>0</v>
      </c>
      <c r="E35" s="188">
        <v>18205</v>
      </c>
      <c r="F35" s="188">
        <v>181</v>
      </c>
      <c r="G35" s="188">
        <v>29</v>
      </c>
      <c r="H35" s="188">
        <v>20239</v>
      </c>
      <c r="I35" s="188">
        <v>208</v>
      </c>
      <c r="J35" s="188">
        <v>29</v>
      </c>
      <c r="K35" s="188">
        <v>5206</v>
      </c>
      <c r="L35" s="188">
        <v>38679</v>
      </c>
      <c r="M35" s="188">
        <v>43885</v>
      </c>
      <c r="N35" s="188">
        <v>70</v>
      </c>
      <c r="O35" s="188">
        <v>28</v>
      </c>
      <c r="P35" s="188">
        <v>485</v>
      </c>
      <c r="Q35" s="188">
        <v>212</v>
      </c>
      <c r="R35" s="188">
        <v>555</v>
      </c>
      <c r="S35" s="188">
        <v>240</v>
      </c>
      <c r="T35" s="188">
        <v>0</v>
      </c>
      <c r="U35" s="188">
        <v>40</v>
      </c>
      <c r="V35" s="188">
        <v>40</v>
      </c>
      <c r="W35" s="189" t="s">
        <v>125</v>
      </c>
      <c r="X35" s="189" t="s">
        <v>125</v>
      </c>
      <c r="Y35" s="189" t="s">
        <v>125</v>
      </c>
      <c r="Z35" s="188">
        <v>21790</v>
      </c>
      <c r="AA35" s="188">
        <v>21790</v>
      </c>
      <c r="AB35" s="188">
        <v>0</v>
      </c>
      <c r="AC35" s="188">
        <v>5590374</v>
      </c>
      <c r="AD35" s="188">
        <v>23681</v>
      </c>
      <c r="AE35" s="190">
        <v>5614055</v>
      </c>
      <c r="AY35" s="192"/>
      <c r="AZ35" s="192"/>
    </row>
    <row r="36" spans="1:52" s="191" customFormat="1" ht="15" customHeight="1">
      <c r="A36" s="187" t="s">
        <v>152</v>
      </c>
      <c r="B36" s="188">
        <v>300</v>
      </c>
      <c r="C36" s="188">
        <v>8</v>
      </c>
      <c r="D36" s="188">
        <v>0</v>
      </c>
      <c r="E36" s="188">
        <v>3069</v>
      </c>
      <c r="F36" s="188">
        <v>46</v>
      </c>
      <c r="G36" s="188">
        <v>6</v>
      </c>
      <c r="H36" s="188">
        <v>3369</v>
      </c>
      <c r="I36" s="188">
        <v>54</v>
      </c>
      <c r="J36" s="188">
        <v>6</v>
      </c>
      <c r="K36" s="188">
        <v>731</v>
      </c>
      <c r="L36" s="188">
        <v>6110</v>
      </c>
      <c r="M36" s="188">
        <v>6841</v>
      </c>
      <c r="N36" s="188">
        <v>20</v>
      </c>
      <c r="O36" s="188">
        <v>9</v>
      </c>
      <c r="P36" s="188">
        <v>123</v>
      </c>
      <c r="Q36" s="188">
        <v>50</v>
      </c>
      <c r="R36" s="188">
        <v>143</v>
      </c>
      <c r="S36" s="188">
        <v>59</v>
      </c>
      <c r="T36" s="188">
        <v>0</v>
      </c>
      <c r="U36" s="188">
        <v>6</v>
      </c>
      <c r="V36" s="188">
        <v>6</v>
      </c>
      <c r="W36" s="189" t="s">
        <v>125</v>
      </c>
      <c r="X36" s="189" t="s">
        <v>125</v>
      </c>
      <c r="Y36" s="189" t="s">
        <v>125</v>
      </c>
      <c r="Z36" s="188">
        <v>3623</v>
      </c>
      <c r="AA36" s="188">
        <v>3623</v>
      </c>
      <c r="AB36" s="188">
        <v>0</v>
      </c>
      <c r="AC36" s="188">
        <v>854479</v>
      </c>
      <c r="AD36" s="188">
        <v>5043</v>
      </c>
      <c r="AE36" s="190">
        <v>859522</v>
      </c>
      <c r="AY36" s="192"/>
      <c r="AZ36" s="192"/>
    </row>
    <row r="37" spans="1:52" s="191" customFormat="1" ht="15" customHeight="1">
      <c r="A37" s="187" t="s">
        <v>153</v>
      </c>
      <c r="B37" s="188">
        <v>227</v>
      </c>
      <c r="C37" s="188">
        <v>0</v>
      </c>
      <c r="D37" s="188">
        <v>0</v>
      </c>
      <c r="E37" s="188">
        <v>4091</v>
      </c>
      <c r="F37" s="188">
        <v>6</v>
      </c>
      <c r="G37" s="188">
        <v>2</v>
      </c>
      <c r="H37" s="188">
        <v>4318</v>
      </c>
      <c r="I37" s="188">
        <v>6</v>
      </c>
      <c r="J37" s="188">
        <v>2</v>
      </c>
      <c r="K37" s="188">
        <v>565</v>
      </c>
      <c r="L37" s="188">
        <v>6954</v>
      </c>
      <c r="M37" s="188">
        <v>7519</v>
      </c>
      <c r="N37" s="188">
        <v>0</v>
      </c>
      <c r="O37" s="188">
        <v>0</v>
      </c>
      <c r="P37" s="188">
        <v>15</v>
      </c>
      <c r="Q37" s="188">
        <v>7</v>
      </c>
      <c r="R37" s="188">
        <v>15</v>
      </c>
      <c r="S37" s="188">
        <v>7</v>
      </c>
      <c r="T37" s="188">
        <v>0</v>
      </c>
      <c r="U37" s="188">
        <v>2</v>
      </c>
      <c r="V37" s="188">
        <v>2</v>
      </c>
      <c r="W37" s="189" t="s">
        <v>125</v>
      </c>
      <c r="X37" s="189" t="s">
        <v>125</v>
      </c>
      <c r="Y37" s="189" t="s">
        <v>125</v>
      </c>
      <c r="Z37" s="188">
        <v>4531</v>
      </c>
      <c r="AA37" s="188">
        <v>4531</v>
      </c>
      <c r="AB37" s="188">
        <v>0</v>
      </c>
      <c r="AC37" s="188">
        <v>1033506</v>
      </c>
      <c r="AD37" s="188">
        <v>764</v>
      </c>
      <c r="AE37" s="190">
        <v>1034270</v>
      </c>
      <c r="AY37" s="192"/>
      <c r="AZ37" s="192"/>
    </row>
    <row r="38" spans="1:52" s="191" customFormat="1" ht="15" customHeight="1">
      <c r="A38" s="187" t="s">
        <v>154</v>
      </c>
      <c r="B38" s="188">
        <v>10444</v>
      </c>
      <c r="C38" s="188">
        <v>204</v>
      </c>
      <c r="D38" s="188">
        <v>4</v>
      </c>
      <c r="E38" s="188">
        <v>108446</v>
      </c>
      <c r="F38" s="188">
        <v>2087</v>
      </c>
      <c r="G38" s="188">
        <v>1096</v>
      </c>
      <c r="H38" s="188">
        <v>118890</v>
      </c>
      <c r="I38" s="188">
        <v>2291</v>
      </c>
      <c r="J38" s="188">
        <v>1100</v>
      </c>
      <c r="K38" s="188">
        <v>26631</v>
      </c>
      <c r="L38" s="188">
        <v>214755</v>
      </c>
      <c r="M38" s="188">
        <v>241386</v>
      </c>
      <c r="N38" s="188">
        <v>450</v>
      </c>
      <c r="O38" s="188">
        <v>287</v>
      </c>
      <c r="P38" s="188">
        <v>4519</v>
      </c>
      <c r="Q38" s="188">
        <v>2580</v>
      </c>
      <c r="R38" s="188">
        <v>4969</v>
      </c>
      <c r="S38" s="188">
        <v>2867</v>
      </c>
      <c r="T38" s="188">
        <v>7</v>
      </c>
      <c r="U38" s="188">
        <v>1501</v>
      </c>
      <c r="V38" s="188">
        <v>1508</v>
      </c>
      <c r="W38" s="189" t="s">
        <v>125</v>
      </c>
      <c r="X38" s="189" t="s">
        <v>125</v>
      </c>
      <c r="Y38" s="189" t="s">
        <v>125</v>
      </c>
      <c r="Z38" s="188">
        <v>127962</v>
      </c>
      <c r="AA38" s="188">
        <v>127962</v>
      </c>
      <c r="AB38" s="188">
        <v>0</v>
      </c>
      <c r="AC38" s="188">
        <v>33218436</v>
      </c>
      <c r="AD38" s="188">
        <v>505865</v>
      </c>
      <c r="AE38" s="190">
        <v>33724301</v>
      </c>
      <c r="AY38" s="192"/>
      <c r="AZ38" s="192"/>
    </row>
    <row r="39" spans="1:52" s="191" customFormat="1" ht="15" customHeight="1">
      <c r="A39" s="187" t="s">
        <v>155</v>
      </c>
      <c r="B39" s="188">
        <v>693</v>
      </c>
      <c r="C39" s="188">
        <v>9</v>
      </c>
      <c r="D39" s="188">
        <v>2</v>
      </c>
      <c r="E39" s="188">
        <v>8433</v>
      </c>
      <c r="F39" s="188">
        <v>43</v>
      </c>
      <c r="G39" s="188">
        <v>33</v>
      </c>
      <c r="H39" s="188">
        <v>9126</v>
      </c>
      <c r="I39" s="188">
        <v>52</v>
      </c>
      <c r="J39" s="188">
        <v>35</v>
      </c>
      <c r="K39" s="188">
        <v>1763</v>
      </c>
      <c r="L39" s="188">
        <v>15325</v>
      </c>
      <c r="M39" s="188">
        <v>17088</v>
      </c>
      <c r="N39" s="188">
        <v>20</v>
      </c>
      <c r="O39" s="188">
        <v>12</v>
      </c>
      <c r="P39" s="188">
        <v>94</v>
      </c>
      <c r="Q39" s="188">
        <v>50</v>
      </c>
      <c r="R39" s="188">
        <v>114</v>
      </c>
      <c r="S39" s="188">
        <v>62</v>
      </c>
      <c r="T39" s="188">
        <v>7</v>
      </c>
      <c r="U39" s="188">
        <v>51</v>
      </c>
      <c r="V39" s="188">
        <v>58</v>
      </c>
      <c r="W39" s="189" t="s">
        <v>125</v>
      </c>
      <c r="X39" s="189" t="s">
        <v>125</v>
      </c>
      <c r="Y39" s="189" t="s">
        <v>125</v>
      </c>
      <c r="Z39" s="188">
        <v>9642</v>
      </c>
      <c r="AA39" s="188">
        <v>9642</v>
      </c>
      <c r="AB39" s="188">
        <v>0</v>
      </c>
      <c r="AC39" s="188">
        <v>2216971</v>
      </c>
      <c r="AD39" s="188">
        <v>13218</v>
      </c>
      <c r="AE39" s="190">
        <v>2230189</v>
      </c>
      <c r="AY39" s="192"/>
      <c r="AZ39" s="192"/>
    </row>
    <row r="40" spans="1:52" s="191" customFormat="1" ht="15" customHeight="1">
      <c r="A40" s="187" t="s">
        <v>156</v>
      </c>
      <c r="B40" s="188">
        <v>76</v>
      </c>
      <c r="C40" s="188">
        <v>0</v>
      </c>
      <c r="D40" s="188">
        <v>0</v>
      </c>
      <c r="E40" s="188">
        <v>1054</v>
      </c>
      <c r="F40" s="188">
        <v>2</v>
      </c>
      <c r="G40" s="188">
        <v>0</v>
      </c>
      <c r="H40" s="188">
        <v>1130</v>
      </c>
      <c r="I40" s="188">
        <v>2</v>
      </c>
      <c r="J40" s="188">
        <v>0</v>
      </c>
      <c r="K40" s="188">
        <v>183</v>
      </c>
      <c r="L40" s="188">
        <v>1844</v>
      </c>
      <c r="M40" s="188">
        <v>2027</v>
      </c>
      <c r="N40" s="188">
        <v>0</v>
      </c>
      <c r="O40" s="188">
        <v>0</v>
      </c>
      <c r="P40" s="188">
        <v>3</v>
      </c>
      <c r="Q40" s="188">
        <v>0</v>
      </c>
      <c r="R40" s="188">
        <v>3</v>
      </c>
      <c r="S40" s="188">
        <v>0</v>
      </c>
      <c r="T40" s="188">
        <v>0</v>
      </c>
      <c r="U40" s="188">
        <v>0</v>
      </c>
      <c r="V40" s="188">
        <v>0</v>
      </c>
      <c r="W40" s="189" t="s">
        <v>125</v>
      </c>
      <c r="X40" s="189" t="s">
        <v>125</v>
      </c>
      <c r="Y40" s="189" t="s">
        <v>125</v>
      </c>
      <c r="Z40" s="188">
        <v>1185</v>
      </c>
      <c r="AA40" s="188">
        <v>1185</v>
      </c>
      <c r="AB40" s="188">
        <v>0</v>
      </c>
      <c r="AC40" s="188">
        <v>272028</v>
      </c>
      <c r="AD40" s="188">
        <v>0</v>
      </c>
      <c r="AE40" s="190">
        <v>272028</v>
      </c>
      <c r="AY40" s="192"/>
      <c r="AZ40" s="192"/>
    </row>
    <row r="41" spans="1:52" s="191" customFormat="1" ht="15" customHeight="1">
      <c r="A41" s="187" t="s">
        <v>157</v>
      </c>
      <c r="B41" s="188">
        <v>15090</v>
      </c>
      <c r="C41" s="188">
        <v>108</v>
      </c>
      <c r="D41" s="188">
        <v>12</v>
      </c>
      <c r="E41" s="188">
        <v>112527</v>
      </c>
      <c r="F41" s="188">
        <v>854</v>
      </c>
      <c r="G41" s="188">
        <v>182</v>
      </c>
      <c r="H41" s="188">
        <v>127617</v>
      </c>
      <c r="I41" s="188">
        <v>962</v>
      </c>
      <c r="J41" s="188">
        <v>194</v>
      </c>
      <c r="K41" s="188">
        <v>40662</v>
      </c>
      <c r="L41" s="188">
        <v>241681</v>
      </c>
      <c r="M41" s="188">
        <v>282343</v>
      </c>
      <c r="N41" s="188">
        <v>280</v>
      </c>
      <c r="O41" s="188">
        <v>132</v>
      </c>
      <c r="P41" s="188">
        <v>2367</v>
      </c>
      <c r="Q41" s="188">
        <v>939</v>
      </c>
      <c r="R41" s="188">
        <v>2647</v>
      </c>
      <c r="S41" s="188">
        <v>1071</v>
      </c>
      <c r="T41" s="188">
        <v>16</v>
      </c>
      <c r="U41" s="188">
        <v>231</v>
      </c>
      <c r="V41" s="188">
        <v>247</v>
      </c>
      <c r="W41" s="189" t="s">
        <v>125</v>
      </c>
      <c r="X41" s="189" t="s">
        <v>125</v>
      </c>
      <c r="Y41" s="189" t="s">
        <v>125</v>
      </c>
      <c r="Z41" s="188">
        <v>134912</v>
      </c>
      <c r="AA41" s="188">
        <v>134912</v>
      </c>
      <c r="AB41" s="188">
        <v>0</v>
      </c>
      <c r="AC41" s="188">
        <v>38125011</v>
      </c>
      <c r="AD41" s="188">
        <v>129806</v>
      </c>
      <c r="AE41" s="190">
        <v>38254817</v>
      </c>
      <c r="AY41" s="192"/>
      <c r="AZ41" s="192"/>
    </row>
    <row r="42" spans="1:52" s="191" customFormat="1" ht="15" customHeight="1">
      <c r="A42" s="187" t="s">
        <v>158</v>
      </c>
      <c r="B42" s="188">
        <v>13989</v>
      </c>
      <c r="C42" s="188">
        <v>562</v>
      </c>
      <c r="D42" s="188">
        <v>9</v>
      </c>
      <c r="E42" s="188">
        <v>84780</v>
      </c>
      <c r="F42" s="188">
        <v>1071</v>
      </c>
      <c r="G42" s="188">
        <v>591</v>
      </c>
      <c r="H42" s="188">
        <v>98769</v>
      </c>
      <c r="I42" s="188">
        <v>1633</v>
      </c>
      <c r="J42" s="188">
        <v>600</v>
      </c>
      <c r="K42" s="188">
        <v>35826</v>
      </c>
      <c r="L42" s="188">
        <v>168660</v>
      </c>
      <c r="M42" s="188">
        <v>204486</v>
      </c>
      <c r="N42" s="188">
        <v>1290</v>
      </c>
      <c r="O42" s="188">
        <v>921</v>
      </c>
      <c r="P42" s="188">
        <v>2450</v>
      </c>
      <c r="Q42" s="188">
        <v>1527</v>
      </c>
      <c r="R42" s="188">
        <v>3740</v>
      </c>
      <c r="S42" s="188">
        <v>2448</v>
      </c>
      <c r="T42" s="188">
        <v>17</v>
      </c>
      <c r="U42" s="188">
        <v>773</v>
      </c>
      <c r="V42" s="188">
        <v>790</v>
      </c>
      <c r="W42" s="189" t="s">
        <v>125</v>
      </c>
      <c r="X42" s="189" t="s">
        <v>125</v>
      </c>
      <c r="Y42" s="189" t="s">
        <v>125</v>
      </c>
      <c r="Z42" s="188">
        <v>116185</v>
      </c>
      <c r="AA42" s="188">
        <v>116185</v>
      </c>
      <c r="AB42" s="188">
        <v>0</v>
      </c>
      <c r="AC42" s="188">
        <v>29767477</v>
      </c>
      <c r="AD42" s="188">
        <v>395461</v>
      </c>
      <c r="AE42" s="190">
        <v>30162938</v>
      </c>
      <c r="AY42" s="192"/>
      <c r="AZ42" s="192"/>
    </row>
    <row r="43" spans="1:52" s="191" customFormat="1" ht="15" customHeight="1">
      <c r="A43" s="187" t="s">
        <v>159</v>
      </c>
      <c r="B43" s="188">
        <v>244</v>
      </c>
      <c r="C43" s="188">
        <v>2</v>
      </c>
      <c r="D43" s="188">
        <v>0</v>
      </c>
      <c r="E43" s="188">
        <v>2130</v>
      </c>
      <c r="F43" s="188">
        <v>19</v>
      </c>
      <c r="G43" s="188">
        <v>0</v>
      </c>
      <c r="H43" s="188">
        <v>2374</v>
      </c>
      <c r="I43" s="188">
        <v>21</v>
      </c>
      <c r="J43" s="188">
        <v>0</v>
      </c>
      <c r="K43" s="188">
        <v>639</v>
      </c>
      <c r="L43" s="188">
        <v>4560</v>
      </c>
      <c r="M43" s="188">
        <v>5199</v>
      </c>
      <c r="N43" s="188">
        <v>3</v>
      </c>
      <c r="O43" s="188">
        <v>2</v>
      </c>
      <c r="P43" s="188">
        <v>55</v>
      </c>
      <c r="Q43" s="188">
        <v>22</v>
      </c>
      <c r="R43" s="188">
        <v>58</v>
      </c>
      <c r="S43" s="188">
        <v>24</v>
      </c>
      <c r="T43" s="188">
        <v>0</v>
      </c>
      <c r="U43" s="188">
        <v>0</v>
      </c>
      <c r="V43" s="188">
        <v>0</v>
      </c>
      <c r="W43" s="189" t="s">
        <v>125</v>
      </c>
      <c r="X43" s="189" t="s">
        <v>125</v>
      </c>
      <c r="Y43" s="189" t="s">
        <v>125</v>
      </c>
      <c r="Z43" s="188">
        <v>2533</v>
      </c>
      <c r="AA43" s="188">
        <v>2533</v>
      </c>
      <c r="AB43" s="188">
        <v>0</v>
      </c>
      <c r="AC43" s="188">
        <v>679515</v>
      </c>
      <c r="AD43" s="188">
        <v>1836</v>
      </c>
      <c r="AE43" s="190">
        <v>681351</v>
      </c>
      <c r="AY43" s="192"/>
      <c r="AZ43" s="192"/>
    </row>
    <row r="44" spans="1:52" s="191" customFormat="1" ht="15" customHeight="1">
      <c r="A44" s="187" t="s">
        <v>160</v>
      </c>
      <c r="B44" s="188">
        <v>24332</v>
      </c>
      <c r="C44" s="188">
        <v>169</v>
      </c>
      <c r="D44" s="188">
        <v>5</v>
      </c>
      <c r="E44" s="188">
        <v>151357</v>
      </c>
      <c r="F44" s="188">
        <v>930</v>
      </c>
      <c r="G44" s="188">
        <v>379</v>
      </c>
      <c r="H44" s="188">
        <v>175689</v>
      </c>
      <c r="I44" s="188">
        <v>1099</v>
      </c>
      <c r="J44" s="188">
        <v>384</v>
      </c>
      <c r="K44" s="188">
        <v>64502</v>
      </c>
      <c r="L44" s="188">
        <v>318376</v>
      </c>
      <c r="M44" s="188">
        <v>382878</v>
      </c>
      <c r="N44" s="188">
        <v>433</v>
      </c>
      <c r="O44" s="188">
        <v>191</v>
      </c>
      <c r="P44" s="188">
        <v>2427</v>
      </c>
      <c r="Q44" s="188">
        <v>1114</v>
      </c>
      <c r="R44" s="188">
        <v>2860</v>
      </c>
      <c r="S44" s="188">
        <v>1305</v>
      </c>
      <c r="T44" s="188">
        <v>6</v>
      </c>
      <c r="U44" s="188">
        <v>488</v>
      </c>
      <c r="V44" s="188">
        <v>494</v>
      </c>
      <c r="W44" s="189" t="s">
        <v>125</v>
      </c>
      <c r="X44" s="189" t="s">
        <v>125</v>
      </c>
      <c r="Y44" s="189" t="s">
        <v>125</v>
      </c>
      <c r="Z44" s="188">
        <v>184638</v>
      </c>
      <c r="AA44" s="188">
        <v>184638</v>
      </c>
      <c r="AB44" s="188">
        <v>0</v>
      </c>
      <c r="AC44" s="188">
        <v>52647787</v>
      </c>
      <c r="AD44" s="188">
        <v>195137</v>
      </c>
      <c r="AE44" s="190">
        <v>52842924</v>
      </c>
      <c r="AY44" s="192"/>
      <c r="AZ44" s="192"/>
    </row>
    <row r="45" spans="1:52" s="191" customFormat="1" ht="15" customHeight="1">
      <c r="A45" s="187" t="s">
        <v>161</v>
      </c>
      <c r="B45" s="188">
        <v>12644</v>
      </c>
      <c r="C45" s="188">
        <v>279</v>
      </c>
      <c r="D45" s="188">
        <v>7</v>
      </c>
      <c r="E45" s="188">
        <v>125560</v>
      </c>
      <c r="F45" s="188">
        <v>1772</v>
      </c>
      <c r="G45" s="188">
        <v>761</v>
      </c>
      <c r="H45" s="188">
        <v>138204</v>
      </c>
      <c r="I45" s="188">
        <v>2051</v>
      </c>
      <c r="J45" s="188">
        <v>768</v>
      </c>
      <c r="K45" s="188">
        <v>34439</v>
      </c>
      <c r="L45" s="188">
        <v>242159</v>
      </c>
      <c r="M45" s="188">
        <v>276598</v>
      </c>
      <c r="N45" s="188">
        <v>606</v>
      </c>
      <c r="O45" s="188">
        <v>354</v>
      </c>
      <c r="P45" s="188">
        <v>4132</v>
      </c>
      <c r="Q45" s="188">
        <v>2050</v>
      </c>
      <c r="R45" s="188">
        <v>4738</v>
      </c>
      <c r="S45" s="188">
        <v>2404</v>
      </c>
      <c r="T45" s="188">
        <v>19</v>
      </c>
      <c r="U45" s="188">
        <v>964</v>
      </c>
      <c r="V45" s="188">
        <v>983</v>
      </c>
      <c r="W45" s="189" t="s">
        <v>125</v>
      </c>
      <c r="X45" s="189" t="s">
        <v>125</v>
      </c>
      <c r="Y45" s="189" t="s">
        <v>125</v>
      </c>
      <c r="Z45" s="188">
        <v>166039</v>
      </c>
      <c r="AA45" s="188">
        <v>166039</v>
      </c>
      <c r="AB45" s="188">
        <v>0</v>
      </c>
      <c r="AC45" s="188">
        <v>37797297</v>
      </c>
      <c r="AD45" s="188">
        <v>380503</v>
      </c>
      <c r="AE45" s="190">
        <v>38177800</v>
      </c>
      <c r="AY45" s="192"/>
      <c r="AZ45" s="192"/>
    </row>
    <row r="46" spans="1:52" s="191" customFormat="1" ht="15" customHeight="1">
      <c r="A46" s="187" t="s">
        <v>162</v>
      </c>
      <c r="B46" s="188">
        <v>2049</v>
      </c>
      <c r="C46" s="188">
        <v>124</v>
      </c>
      <c r="D46" s="188">
        <v>9</v>
      </c>
      <c r="E46" s="188">
        <v>30588</v>
      </c>
      <c r="F46" s="188">
        <v>805</v>
      </c>
      <c r="G46" s="188">
        <v>1190</v>
      </c>
      <c r="H46" s="188">
        <v>32637</v>
      </c>
      <c r="I46" s="188">
        <v>929</v>
      </c>
      <c r="J46" s="188">
        <v>1199</v>
      </c>
      <c r="K46" s="188">
        <v>4437</v>
      </c>
      <c r="L46" s="188">
        <v>44151</v>
      </c>
      <c r="M46" s="188">
        <v>48588</v>
      </c>
      <c r="N46" s="188">
        <v>236</v>
      </c>
      <c r="O46" s="188">
        <v>144</v>
      </c>
      <c r="P46" s="188">
        <v>1485</v>
      </c>
      <c r="Q46" s="188">
        <v>1017</v>
      </c>
      <c r="R46" s="188">
        <v>1721</v>
      </c>
      <c r="S46" s="188">
        <v>1161</v>
      </c>
      <c r="T46" s="188">
        <v>14</v>
      </c>
      <c r="U46" s="188">
        <v>1233</v>
      </c>
      <c r="V46" s="188">
        <v>1247</v>
      </c>
      <c r="W46" s="189" t="s">
        <v>125</v>
      </c>
      <c r="X46" s="189" t="s">
        <v>125</v>
      </c>
      <c r="Y46" s="189" t="s">
        <v>125</v>
      </c>
      <c r="Z46" s="188">
        <v>38152</v>
      </c>
      <c r="AA46" s="188">
        <v>38152</v>
      </c>
      <c r="AB46" s="188">
        <v>0</v>
      </c>
      <c r="AC46" s="188">
        <v>7346584</v>
      </c>
      <c r="AD46" s="188">
        <v>304230</v>
      </c>
      <c r="AE46" s="190">
        <v>7650814</v>
      </c>
      <c r="AY46" s="192"/>
      <c r="AZ46" s="192"/>
    </row>
    <row r="47" spans="1:52" s="191" customFormat="1" ht="15" customHeight="1">
      <c r="A47" s="187" t="s">
        <v>163</v>
      </c>
      <c r="B47" s="188">
        <v>6872</v>
      </c>
      <c r="C47" s="188">
        <v>63</v>
      </c>
      <c r="D47" s="188">
        <v>1</v>
      </c>
      <c r="E47" s="188">
        <v>43039</v>
      </c>
      <c r="F47" s="188">
        <v>448</v>
      </c>
      <c r="G47" s="188">
        <v>154</v>
      </c>
      <c r="H47" s="188">
        <v>49911</v>
      </c>
      <c r="I47" s="188">
        <v>511</v>
      </c>
      <c r="J47" s="188">
        <v>155</v>
      </c>
      <c r="K47" s="188">
        <v>17090</v>
      </c>
      <c r="L47" s="188">
        <v>94078</v>
      </c>
      <c r="M47" s="188">
        <v>111168</v>
      </c>
      <c r="N47" s="188">
        <v>163</v>
      </c>
      <c r="O47" s="188">
        <v>73</v>
      </c>
      <c r="P47" s="188">
        <v>1257</v>
      </c>
      <c r="Q47" s="188">
        <v>566</v>
      </c>
      <c r="R47" s="188">
        <v>1420</v>
      </c>
      <c r="S47" s="188">
        <v>639</v>
      </c>
      <c r="T47" s="188">
        <v>1</v>
      </c>
      <c r="U47" s="188">
        <v>217</v>
      </c>
      <c r="V47" s="188">
        <v>218</v>
      </c>
      <c r="W47" s="189" t="s">
        <v>125</v>
      </c>
      <c r="X47" s="189" t="s">
        <v>125</v>
      </c>
      <c r="Y47" s="189" t="s">
        <v>125</v>
      </c>
      <c r="Z47" s="188">
        <v>52840</v>
      </c>
      <c r="AA47" s="188">
        <v>52840</v>
      </c>
      <c r="AB47" s="188">
        <v>0</v>
      </c>
      <c r="AC47" s="188">
        <v>15079924</v>
      </c>
      <c r="AD47" s="188">
        <v>90798</v>
      </c>
      <c r="AE47" s="190">
        <v>15170722</v>
      </c>
      <c r="AY47" s="192"/>
      <c r="AZ47" s="192"/>
    </row>
    <row r="48" spans="1:52" s="191" customFormat="1" ht="15" customHeight="1">
      <c r="A48" s="187" t="s">
        <v>164</v>
      </c>
      <c r="B48" s="188">
        <v>852</v>
      </c>
      <c r="C48" s="188">
        <v>4</v>
      </c>
      <c r="D48" s="188">
        <v>0</v>
      </c>
      <c r="E48" s="188">
        <v>8836</v>
      </c>
      <c r="F48" s="188">
        <v>42</v>
      </c>
      <c r="G48" s="188">
        <v>7</v>
      </c>
      <c r="H48" s="188">
        <v>9688</v>
      </c>
      <c r="I48" s="188">
        <v>46</v>
      </c>
      <c r="J48" s="188">
        <v>7</v>
      </c>
      <c r="K48" s="188">
        <v>2107</v>
      </c>
      <c r="L48" s="188">
        <v>15397</v>
      </c>
      <c r="M48" s="188">
        <v>17504</v>
      </c>
      <c r="N48" s="188">
        <v>15</v>
      </c>
      <c r="O48" s="188">
        <v>5</v>
      </c>
      <c r="P48" s="188">
        <v>105</v>
      </c>
      <c r="Q48" s="188">
        <v>50</v>
      </c>
      <c r="R48" s="188">
        <v>120</v>
      </c>
      <c r="S48" s="188">
        <v>55</v>
      </c>
      <c r="T48" s="188">
        <v>0</v>
      </c>
      <c r="U48" s="188">
        <v>8</v>
      </c>
      <c r="V48" s="188">
        <v>8</v>
      </c>
      <c r="W48" s="189" t="s">
        <v>125</v>
      </c>
      <c r="X48" s="189" t="s">
        <v>125</v>
      </c>
      <c r="Y48" s="189" t="s">
        <v>125</v>
      </c>
      <c r="Z48" s="188">
        <v>10175</v>
      </c>
      <c r="AA48" s="188">
        <v>10175</v>
      </c>
      <c r="AB48" s="188">
        <v>0</v>
      </c>
      <c r="AC48" s="188">
        <v>2358688</v>
      </c>
      <c r="AD48" s="188">
        <v>4635</v>
      </c>
      <c r="AE48" s="190">
        <v>2363323</v>
      </c>
      <c r="AY48" s="192"/>
      <c r="AZ48" s="192"/>
    </row>
    <row r="49" spans="1:52" s="191" customFormat="1" ht="15" customHeight="1">
      <c r="A49" s="187" t="s">
        <v>165</v>
      </c>
      <c r="B49" s="188">
        <v>806</v>
      </c>
      <c r="C49" s="188">
        <v>26</v>
      </c>
      <c r="D49" s="188">
        <v>1</v>
      </c>
      <c r="E49" s="188">
        <v>13278</v>
      </c>
      <c r="F49" s="188">
        <v>427</v>
      </c>
      <c r="G49" s="188">
        <v>157</v>
      </c>
      <c r="H49" s="188">
        <v>14084</v>
      </c>
      <c r="I49" s="188">
        <v>453</v>
      </c>
      <c r="J49" s="188">
        <v>158</v>
      </c>
      <c r="K49" s="188">
        <v>1930</v>
      </c>
      <c r="L49" s="188">
        <v>24839</v>
      </c>
      <c r="M49" s="188">
        <v>26769</v>
      </c>
      <c r="N49" s="188">
        <v>68</v>
      </c>
      <c r="O49" s="188">
        <v>31</v>
      </c>
      <c r="P49" s="188">
        <v>1006</v>
      </c>
      <c r="Q49" s="188">
        <v>528</v>
      </c>
      <c r="R49" s="188">
        <v>1074</v>
      </c>
      <c r="S49" s="188">
        <v>559</v>
      </c>
      <c r="T49" s="188">
        <v>1</v>
      </c>
      <c r="U49" s="188">
        <v>207</v>
      </c>
      <c r="V49" s="188">
        <v>208</v>
      </c>
      <c r="W49" s="189" t="s">
        <v>125</v>
      </c>
      <c r="X49" s="189" t="s">
        <v>125</v>
      </c>
      <c r="Y49" s="189" t="s">
        <v>125</v>
      </c>
      <c r="Z49" s="188">
        <v>17339</v>
      </c>
      <c r="AA49" s="188">
        <v>17339</v>
      </c>
      <c r="AB49" s="188">
        <v>0</v>
      </c>
      <c r="AC49" s="188">
        <v>3700158</v>
      </c>
      <c r="AD49" s="188">
        <v>77699</v>
      </c>
      <c r="AE49" s="190">
        <v>3777857</v>
      </c>
      <c r="AY49" s="192"/>
      <c r="AZ49" s="192"/>
    </row>
    <row r="50" spans="1:52" s="191" customFormat="1" ht="15" customHeight="1">
      <c r="A50" s="187" t="s">
        <v>166</v>
      </c>
      <c r="B50" s="188">
        <v>1944</v>
      </c>
      <c r="C50" s="188">
        <v>21</v>
      </c>
      <c r="D50" s="188">
        <v>0</v>
      </c>
      <c r="E50" s="188">
        <v>15777</v>
      </c>
      <c r="F50" s="188">
        <v>116</v>
      </c>
      <c r="G50" s="188">
        <v>67</v>
      </c>
      <c r="H50" s="188">
        <v>17721</v>
      </c>
      <c r="I50" s="188">
        <v>137</v>
      </c>
      <c r="J50" s="188">
        <v>67</v>
      </c>
      <c r="K50" s="188">
        <v>5045</v>
      </c>
      <c r="L50" s="188">
        <v>31390</v>
      </c>
      <c r="M50" s="188">
        <v>36435</v>
      </c>
      <c r="N50" s="188">
        <v>45</v>
      </c>
      <c r="O50" s="188">
        <v>21</v>
      </c>
      <c r="P50" s="188">
        <v>309</v>
      </c>
      <c r="Q50" s="188">
        <v>125</v>
      </c>
      <c r="R50" s="188">
        <v>354</v>
      </c>
      <c r="S50" s="188">
        <v>146</v>
      </c>
      <c r="T50" s="188">
        <v>0</v>
      </c>
      <c r="U50" s="188">
        <v>84</v>
      </c>
      <c r="V50" s="188">
        <v>84</v>
      </c>
      <c r="W50" s="189" t="s">
        <v>125</v>
      </c>
      <c r="X50" s="189" t="s">
        <v>125</v>
      </c>
      <c r="Y50" s="189" t="s">
        <v>125</v>
      </c>
      <c r="Z50" s="188">
        <v>21331</v>
      </c>
      <c r="AA50" s="188">
        <v>21331</v>
      </c>
      <c r="AB50" s="188">
        <v>0</v>
      </c>
      <c r="AC50" s="188">
        <v>4813524</v>
      </c>
      <c r="AD50" s="188">
        <v>26308</v>
      </c>
      <c r="AE50" s="190">
        <v>4839832</v>
      </c>
      <c r="AY50" s="192"/>
      <c r="AZ50" s="192"/>
    </row>
    <row r="51" spans="1:52" s="191" customFormat="1" ht="15" customHeight="1">
      <c r="A51" s="187" t="s">
        <v>167</v>
      </c>
      <c r="B51" s="188">
        <v>4266</v>
      </c>
      <c r="C51" s="188">
        <v>108</v>
      </c>
      <c r="D51" s="188">
        <v>0</v>
      </c>
      <c r="E51" s="188">
        <v>45698</v>
      </c>
      <c r="F51" s="188">
        <v>829</v>
      </c>
      <c r="G51" s="188">
        <v>655</v>
      </c>
      <c r="H51" s="188">
        <v>49964</v>
      </c>
      <c r="I51" s="188">
        <v>937</v>
      </c>
      <c r="J51" s="188">
        <v>655</v>
      </c>
      <c r="K51" s="188">
        <v>10317</v>
      </c>
      <c r="L51" s="188">
        <v>86757</v>
      </c>
      <c r="M51" s="188">
        <v>97074</v>
      </c>
      <c r="N51" s="188">
        <v>227</v>
      </c>
      <c r="O51" s="188">
        <v>129</v>
      </c>
      <c r="P51" s="188">
        <v>1787</v>
      </c>
      <c r="Q51" s="188">
        <v>1074</v>
      </c>
      <c r="R51" s="188">
        <v>2014</v>
      </c>
      <c r="S51" s="188">
        <v>1203</v>
      </c>
      <c r="T51" s="188">
        <v>0</v>
      </c>
      <c r="U51" s="188">
        <v>962</v>
      </c>
      <c r="V51" s="188">
        <v>962</v>
      </c>
      <c r="W51" s="189" t="s">
        <v>125</v>
      </c>
      <c r="X51" s="189" t="s">
        <v>125</v>
      </c>
      <c r="Y51" s="189" t="s">
        <v>125</v>
      </c>
      <c r="Z51" s="188">
        <v>53694</v>
      </c>
      <c r="AA51" s="188">
        <v>53694</v>
      </c>
      <c r="AB51" s="188">
        <v>0</v>
      </c>
      <c r="AC51" s="188">
        <v>13459741</v>
      </c>
      <c r="AD51" s="188">
        <v>253706</v>
      </c>
      <c r="AE51" s="190">
        <v>13713447</v>
      </c>
      <c r="AY51" s="192"/>
      <c r="AZ51" s="192"/>
    </row>
    <row r="52" spans="1:52" s="191" customFormat="1" ht="15" customHeight="1">
      <c r="A52" s="187" t="s">
        <v>168</v>
      </c>
      <c r="B52" s="188">
        <v>1023</v>
      </c>
      <c r="C52" s="188">
        <v>4</v>
      </c>
      <c r="D52" s="188">
        <v>0</v>
      </c>
      <c r="E52" s="188">
        <v>13060</v>
      </c>
      <c r="F52" s="188">
        <v>44</v>
      </c>
      <c r="G52" s="188">
        <v>13</v>
      </c>
      <c r="H52" s="188">
        <v>14083</v>
      </c>
      <c r="I52" s="188">
        <v>48</v>
      </c>
      <c r="J52" s="188">
        <v>13</v>
      </c>
      <c r="K52" s="188">
        <v>2544</v>
      </c>
      <c r="L52" s="188">
        <v>22808</v>
      </c>
      <c r="M52" s="188">
        <v>25352</v>
      </c>
      <c r="N52" s="188">
        <v>10</v>
      </c>
      <c r="O52" s="188">
        <v>4</v>
      </c>
      <c r="P52" s="188">
        <v>96</v>
      </c>
      <c r="Q52" s="188">
        <v>50</v>
      </c>
      <c r="R52" s="188">
        <v>106</v>
      </c>
      <c r="S52" s="188">
        <v>54</v>
      </c>
      <c r="T52" s="188">
        <v>0</v>
      </c>
      <c r="U52" s="188">
        <v>18</v>
      </c>
      <c r="V52" s="188">
        <v>18</v>
      </c>
      <c r="W52" s="189" t="s">
        <v>125</v>
      </c>
      <c r="X52" s="189" t="s">
        <v>125</v>
      </c>
      <c r="Y52" s="189" t="s">
        <v>125</v>
      </c>
      <c r="Z52" s="188">
        <v>16326</v>
      </c>
      <c r="AA52" s="188">
        <v>16326</v>
      </c>
      <c r="AB52" s="188">
        <v>0</v>
      </c>
      <c r="AC52" s="188">
        <v>3377012</v>
      </c>
      <c r="AD52" s="188">
        <v>7052</v>
      </c>
      <c r="AE52" s="190">
        <v>3384064</v>
      </c>
      <c r="AY52" s="192"/>
      <c r="AZ52" s="192"/>
    </row>
    <row r="53" spans="1:52" s="191" customFormat="1" ht="15" customHeight="1">
      <c r="A53" s="187" t="s">
        <v>169</v>
      </c>
      <c r="B53" s="188">
        <v>1259</v>
      </c>
      <c r="C53" s="188">
        <v>2</v>
      </c>
      <c r="D53" s="188">
        <v>0</v>
      </c>
      <c r="E53" s="188">
        <v>11605</v>
      </c>
      <c r="F53" s="188">
        <v>25</v>
      </c>
      <c r="G53" s="188">
        <v>17</v>
      </c>
      <c r="H53" s="188">
        <v>12864</v>
      </c>
      <c r="I53" s="188">
        <v>27</v>
      </c>
      <c r="J53" s="188">
        <v>17</v>
      </c>
      <c r="K53" s="188">
        <v>3029</v>
      </c>
      <c r="L53" s="188">
        <v>21104</v>
      </c>
      <c r="M53" s="188">
        <v>24133</v>
      </c>
      <c r="N53" s="188">
        <v>3</v>
      </c>
      <c r="O53" s="188">
        <v>2</v>
      </c>
      <c r="P53" s="188">
        <v>59</v>
      </c>
      <c r="Q53" s="188">
        <v>27</v>
      </c>
      <c r="R53" s="188">
        <v>62</v>
      </c>
      <c r="S53" s="188">
        <v>29</v>
      </c>
      <c r="T53" s="188">
        <v>0</v>
      </c>
      <c r="U53" s="188">
        <v>19</v>
      </c>
      <c r="V53" s="188">
        <v>19</v>
      </c>
      <c r="W53" s="189" t="s">
        <v>125</v>
      </c>
      <c r="X53" s="189" t="s">
        <v>125</v>
      </c>
      <c r="Y53" s="189" t="s">
        <v>125</v>
      </c>
      <c r="Z53" s="188">
        <v>13627</v>
      </c>
      <c r="AA53" s="188">
        <v>13627</v>
      </c>
      <c r="AB53" s="188">
        <v>0</v>
      </c>
      <c r="AC53" s="188">
        <v>3188488</v>
      </c>
      <c r="AD53" s="188">
        <v>5140</v>
      </c>
      <c r="AE53" s="190">
        <v>3193628</v>
      </c>
      <c r="AY53" s="192"/>
      <c r="AZ53" s="192"/>
    </row>
    <row r="54" spans="1:52" s="191" customFormat="1" ht="15" customHeight="1">
      <c r="A54" s="187" t="s">
        <v>170</v>
      </c>
      <c r="B54" s="188">
        <v>9</v>
      </c>
      <c r="C54" s="188">
        <v>0</v>
      </c>
      <c r="D54" s="188">
        <v>0</v>
      </c>
      <c r="E54" s="188">
        <v>155</v>
      </c>
      <c r="F54" s="188">
        <v>0</v>
      </c>
      <c r="G54" s="188">
        <v>0</v>
      </c>
      <c r="H54" s="188">
        <v>164</v>
      </c>
      <c r="I54" s="188">
        <v>0</v>
      </c>
      <c r="J54" s="188">
        <v>0</v>
      </c>
      <c r="K54" s="188">
        <v>24</v>
      </c>
      <c r="L54" s="188">
        <v>255</v>
      </c>
      <c r="M54" s="188">
        <v>279</v>
      </c>
      <c r="N54" s="188">
        <v>0</v>
      </c>
      <c r="O54" s="188">
        <v>0</v>
      </c>
      <c r="P54" s="188">
        <v>0</v>
      </c>
      <c r="Q54" s="188">
        <v>0</v>
      </c>
      <c r="R54" s="188">
        <v>0</v>
      </c>
      <c r="S54" s="188">
        <v>0</v>
      </c>
      <c r="T54" s="188">
        <v>0</v>
      </c>
      <c r="U54" s="188">
        <v>0</v>
      </c>
      <c r="V54" s="188">
        <v>0</v>
      </c>
      <c r="W54" s="189" t="s">
        <v>125</v>
      </c>
      <c r="X54" s="189" t="s">
        <v>125</v>
      </c>
      <c r="Y54" s="189" t="s">
        <v>125</v>
      </c>
      <c r="Z54" s="188">
        <v>177</v>
      </c>
      <c r="AA54" s="188">
        <v>177</v>
      </c>
      <c r="AB54" s="188">
        <v>0</v>
      </c>
      <c r="AC54" s="188">
        <v>35226</v>
      </c>
      <c r="AD54" s="188">
        <v>0</v>
      </c>
      <c r="AE54" s="190">
        <v>35226</v>
      </c>
      <c r="AY54" s="192"/>
      <c r="AZ54" s="192"/>
    </row>
    <row r="55" spans="1:52" s="191" customFormat="1" ht="15" customHeight="1">
      <c r="A55" s="187" t="s">
        <v>171</v>
      </c>
      <c r="B55" s="188">
        <v>367</v>
      </c>
      <c r="C55" s="188">
        <v>1</v>
      </c>
      <c r="D55" s="188">
        <v>0</v>
      </c>
      <c r="E55" s="188">
        <v>2757</v>
      </c>
      <c r="F55" s="188">
        <v>5</v>
      </c>
      <c r="G55" s="188">
        <v>1</v>
      </c>
      <c r="H55" s="188">
        <v>3124</v>
      </c>
      <c r="I55" s="188">
        <v>6</v>
      </c>
      <c r="J55" s="188">
        <v>1</v>
      </c>
      <c r="K55" s="188">
        <v>1002</v>
      </c>
      <c r="L55" s="188">
        <v>5513</v>
      </c>
      <c r="M55" s="188">
        <v>6515</v>
      </c>
      <c r="N55" s="188">
        <v>2</v>
      </c>
      <c r="O55" s="188">
        <v>1</v>
      </c>
      <c r="P55" s="188">
        <v>18</v>
      </c>
      <c r="Q55" s="188">
        <v>6</v>
      </c>
      <c r="R55" s="188">
        <v>20</v>
      </c>
      <c r="S55" s="188">
        <v>7</v>
      </c>
      <c r="T55" s="188">
        <v>0</v>
      </c>
      <c r="U55" s="188">
        <v>2</v>
      </c>
      <c r="V55" s="188">
        <v>2</v>
      </c>
      <c r="W55" s="189" t="s">
        <v>125</v>
      </c>
      <c r="X55" s="189" t="s">
        <v>125</v>
      </c>
      <c r="Y55" s="189" t="s">
        <v>125</v>
      </c>
      <c r="Z55" s="188">
        <v>3380</v>
      </c>
      <c r="AA55" s="188">
        <v>3380</v>
      </c>
      <c r="AB55" s="188">
        <v>0</v>
      </c>
      <c r="AC55" s="188">
        <v>875002</v>
      </c>
      <c r="AD55" s="188">
        <v>661</v>
      </c>
      <c r="AE55" s="190">
        <v>875663</v>
      </c>
      <c r="AY55" s="192"/>
      <c r="AZ55" s="192"/>
    </row>
    <row r="56" spans="1:52" s="191" customFormat="1" ht="15" customHeight="1">
      <c r="A56" s="187" t="s">
        <v>172</v>
      </c>
      <c r="B56" s="188">
        <v>2425</v>
      </c>
      <c r="C56" s="188">
        <v>18</v>
      </c>
      <c r="D56" s="188">
        <v>1</v>
      </c>
      <c r="E56" s="188">
        <v>19323</v>
      </c>
      <c r="F56" s="188">
        <v>161</v>
      </c>
      <c r="G56" s="188">
        <v>64</v>
      </c>
      <c r="H56" s="188">
        <v>21748</v>
      </c>
      <c r="I56" s="188">
        <v>179</v>
      </c>
      <c r="J56" s="188">
        <v>65</v>
      </c>
      <c r="K56" s="188">
        <v>5749</v>
      </c>
      <c r="L56" s="188">
        <v>35144</v>
      </c>
      <c r="M56" s="188">
        <v>40893</v>
      </c>
      <c r="N56" s="188">
        <v>45</v>
      </c>
      <c r="O56" s="188">
        <v>22</v>
      </c>
      <c r="P56" s="188">
        <v>379</v>
      </c>
      <c r="Q56" s="188">
        <v>190</v>
      </c>
      <c r="R56" s="188">
        <v>424</v>
      </c>
      <c r="S56" s="188">
        <v>212</v>
      </c>
      <c r="T56" s="188">
        <v>2</v>
      </c>
      <c r="U56" s="188">
        <v>86</v>
      </c>
      <c r="V56" s="188">
        <v>88</v>
      </c>
      <c r="W56" s="189" t="s">
        <v>125</v>
      </c>
      <c r="X56" s="189" t="s">
        <v>125</v>
      </c>
      <c r="Y56" s="189" t="s">
        <v>125</v>
      </c>
      <c r="Z56" s="188">
        <v>23125</v>
      </c>
      <c r="AA56" s="188">
        <v>23125</v>
      </c>
      <c r="AB56" s="188">
        <v>0</v>
      </c>
      <c r="AC56" s="188">
        <v>5815099</v>
      </c>
      <c r="AD56" s="188">
        <v>36472</v>
      </c>
      <c r="AE56" s="190">
        <v>5851571</v>
      </c>
      <c r="AY56" s="192"/>
      <c r="AZ56" s="192"/>
    </row>
    <row r="57" spans="1:52" s="191" customFormat="1" ht="15" customHeight="1">
      <c r="A57" s="187" t="s">
        <v>173</v>
      </c>
      <c r="B57" s="188">
        <v>1385</v>
      </c>
      <c r="C57" s="188">
        <v>33</v>
      </c>
      <c r="D57" s="188">
        <v>1</v>
      </c>
      <c r="E57" s="188">
        <v>16559</v>
      </c>
      <c r="F57" s="188">
        <v>221</v>
      </c>
      <c r="G57" s="188">
        <v>57</v>
      </c>
      <c r="H57" s="188">
        <v>17944</v>
      </c>
      <c r="I57" s="188">
        <v>254</v>
      </c>
      <c r="J57" s="188">
        <v>58</v>
      </c>
      <c r="K57" s="188">
        <v>3244</v>
      </c>
      <c r="L57" s="188">
        <v>28288</v>
      </c>
      <c r="M57" s="188">
        <v>31532</v>
      </c>
      <c r="N57" s="188">
        <v>77</v>
      </c>
      <c r="O57" s="188">
        <v>38</v>
      </c>
      <c r="P57" s="188">
        <v>524</v>
      </c>
      <c r="Q57" s="188">
        <v>244</v>
      </c>
      <c r="R57" s="188">
        <v>601</v>
      </c>
      <c r="S57" s="188">
        <v>282</v>
      </c>
      <c r="T57" s="188">
        <v>1</v>
      </c>
      <c r="U57" s="188">
        <v>74</v>
      </c>
      <c r="V57" s="188">
        <v>75</v>
      </c>
      <c r="W57" s="189" t="s">
        <v>125</v>
      </c>
      <c r="X57" s="189" t="s">
        <v>125</v>
      </c>
      <c r="Y57" s="189" t="s">
        <v>125</v>
      </c>
      <c r="Z57" s="188">
        <v>20728</v>
      </c>
      <c r="AA57" s="188">
        <v>20728</v>
      </c>
      <c r="AB57" s="188">
        <v>0</v>
      </c>
      <c r="AC57" s="188">
        <v>4268523</v>
      </c>
      <c r="AD57" s="188">
        <v>32460</v>
      </c>
      <c r="AE57" s="190">
        <v>4300983</v>
      </c>
      <c r="AY57" s="192"/>
      <c r="AZ57" s="192"/>
    </row>
    <row r="58" spans="1:52" s="191" customFormat="1" ht="15" customHeight="1">
      <c r="A58" s="187" t="s">
        <v>174</v>
      </c>
      <c r="B58" s="188">
        <v>5466</v>
      </c>
      <c r="C58" s="188">
        <v>35</v>
      </c>
      <c r="D58" s="188">
        <v>1</v>
      </c>
      <c r="E58" s="188">
        <v>35483</v>
      </c>
      <c r="F58" s="188">
        <v>174</v>
      </c>
      <c r="G58" s="188">
        <v>28</v>
      </c>
      <c r="H58" s="188">
        <v>40949</v>
      </c>
      <c r="I58" s="188">
        <v>209</v>
      </c>
      <c r="J58" s="188">
        <v>29</v>
      </c>
      <c r="K58" s="188">
        <v>14096</v>
      </c>
      <c r="L58" s="188">
        <v>71422</v>
      </c>
      <c r="M58" s="188">
        <v>85518</v>
      </c>
      <c r="N58" s="188">
        <v>103</v>
      </c>
      <c r="O58" s="188">
        <v>41</v>
      </c>
      <c r="P58" s="188">
        <v>495</v>
      </c>
      <c r="Q58" s="188">
        <v>204</v>
      </c>
      <c r="R58" s="188">
        <v>598</v>
      </c>
      <c r="S58" s="188">
        <v>245</v>
      </c>
      <c r="T58" s="188">
        <v>1</v>
      </c>
      <c r="U58" s="188">
        <v>35</v>
      </c>
      <c r="V58" s="188">
        <v>36</v>
      </c>
      <c r="W58" s="189" t="s">
        <v>125</v>
      </c>
      <c r="X58" s="189" t="s">
        <v>125</v>
      </c>
      <c r="Y58" s="189" t="s">
        <v>125</v>
      </c>
      <c r="Z58" s="188">
        <v>42918</v>
      </c>
      <c r="AA58" s="188">
        <v>42918</v>
      </c>
      <c r="AB58" s="188">
        <v>0</v>
      </c>
      <c r="AC58" s="188">
        <v>11603005</v>
      </c>
      <c r="AD58" s="188">
        <v>26533</v>
      </c>
      <c r="AE58" s="190">
        <v>11629538</v>
      </c>
      <c r="AY58" s="192"/>
      <c r="AZ58" s="192"/>
    </row>
    <row r="59" spans="1:52" s="191" customFormat="1" ht="15" customHeight="1">
      <c r="A59" s="187" t="s">
        <v>215</v>
      </c>
      <c r="B59" s="188">
        <v>622</v>
      </c>
      <c r="C59" s="188">
        <v>15</v>
      </c>
      <c r="D59" s="188">
        <v>0</v>
      </c>
      <c r="E59" s="188">
        <v>4857</v>
      </c>
      <c r="F59" s="188">
        <v>44</v>
      </c>
      <c r="G59" s="188">
        <v>11</v>
      </c>
      <c r="H59" s="188">
        <v>5479</v>
      </c>
      <c r="I59" s="188">
        <v>59</v>
      </c>
      <c r="J59" s="188">
        <v>11</v>
      </c>
      <c r="K59" s="188">
        <v>1687</v>
      </c>
      <c r="L59" s="188">
        <v>10708</v>
      </c>
      <c r="M59" s="188">
        <v>12395</v>
      </c>
      <c r="N59" s="188">
        <v>42</v>
      </c>
      <c r="O59" s="188">
        <v>15</v>
      </c>
      <c r="P59" s="188">
        <v>129</v>
      </c>
      <c r="Q59" s="188">
        <v>58</v>
      </c>
      <c r="R59" s="188">
        <v>171</v>
      </c>
      <c r="S59" s="188">
        <v>73</v>
      </c>
      <c r="T59" s="188">
        <v>0</v>
      </c>
      <c r="U59" s="188">
        <v>14</v>
      </c>
      <c r="V59" s="188">
        <v>14</v>
      </c>
      <c r="W59" s="189" t="s">
        <v>125</v>
      </c>
      <c r="X59" s="189" t="s">
        <v>125</v>
      </c>
      <c r="Y59" s="189" t="s">
        <v>125</v>
      </c>
      <c r="Z59" s="188">
        <v>5839</v>
      </c>
      <c r="AA59" s="188">
        <v>5839</v>
      </c>
      <c r="AB59" s="188">
        <v>0</v>
      </c>
      <c r="AC59" s="188">
        <v>1677789</v>
      </c>
      <c r="AD59" s="188">
        <v>8810</v>
      </c>
      <c r="AE59" s="190">
        <v>1686599</v>
      </c>
      <c r="AY59" s="192"/>
      <c r="AZ59" s="192"/>
    </row>
    <row r="60" spans="1:52" s="191" customFormat="1" ht="15" customHeight="1">
      <c r="A60" s="187" t="s">
        <v>176</v>
      </c>
      <c r="B60" s="188">
        <v>491</v>
      </c>
      <c r="C60" s="188">
        <v>0</v>
      </c>
      <c r="D60" s="188">
        <v>0</v>
      </c>
      <c r="E60" s="188">
        <v>3907</v>
      </c>
      <c r="F60" s="188">
        <v>31</v>
      </c>
      <c r="G60" s="188">
        <v>1</v>
      </c>
      <c r="H60" s="188">
        <v>4398</v>
      </c>
      <c r="I60" s="188">
        <v>31</v>
      </c>
      <c r="J60" s="188">
        <v>1</v>
      </c>
      <c r="K60" s="188">
        <v>1288</v>
      </c>
      <c r="L60" s="188">
        <v>8180</v>
      </c>
      <c r="M60" s="188">
        <v>9468</v>
      </c>
      <c r="N60" s="188">
        <v>0</v>
      </c>
      <c r="O60" s="188">
        <v>0</v>
      </c>
      <c r="P60" s="188">
        <v>90</v>
      </c>
      <c r="Q60" s="188">
        <v>41</v>
      </c>
      <c r="R60" s="188">
        <v>90</v>
      </c>
      <c r="S60" s="188">
        <v>41</v>
      </c>
      <c r="T60" s="188">
        <v>0</v>
      </c>
      <c r="U60" s="188">
        <v>1</v>
      </c>
      <c r="V60" s="188">
        <v>1</v>
      </c>
      <c r="W60" s="189" t="s">
        <v>125</v>
      </c>
      <c r="X60" s="189" t="s">
        <v>125</v>
      </c>
      <c r="Y60" s="189" t="s">
        <v>125</v>
      </c>
      <c r="Z60" s="188">
        <v>4700</v>
      </c>
      <c r="AA60" s="188">
        <v>4700</v>
      </c>
      <c r="AB60" s="188">
        <v>0</v>
      </c>
      <c r="AC60" s="188">
        <v>1228675</v>
      </c>
      <c r="AD60" s="188">
        <v>5632</v>
      </c>
      <c r="AE60" s="190">
        <v>1234307</v>
      </c>
      <c r="AY60" s="192"/>
      <c r="AZ60" s="192"/>
    </row>
    <row r="61" spans="1:52" s="191" customFormat="1" ht="15" customHeight="1">
      <c r="A61" s="187" t="s">
        <v>177</v>
      </c>
      <c r="B61" s="188">
        <v>55</v>
      </c>
      <c r="C61" s="188">
        <v>0</v>
      </c>
      <c r="D61" s="188">
        <v>0</v>
      </c>
      <c r="E61" s="188">
        <v>943</v>
      </c>
      <c r="F61" s="188">
        <v>1</v>
      </c>
      <c r="G61" s="188">
        <v>0</v>
      </c>
      <c r="H61" s="188">
        <v>998</v>
      </c>
      <c r="I61" s="188">
        <v>1</v>
      </c>
      <c r="J61" s="188">
        <v>0</v>
      </c>
      <c r="K61" s="188">
        <v>131</v>
      </c>
      <c r="L61" s="188">
        <v>1587</v>
      </c>
      <c r="M61" s="188">
        <v>1718</v>
      </c>
      <c r="N61" s="188">
        <v>0</v>
      </c>
      <c r="O61" s="188">
        <v>0</v>
      </c>
      <c r="P61" s="188">
        <v>2</v>
      </c>
      <c r="Q61" s="188">
        <v>1</v>
      </c>
      <c r="R61" s="188">
        <v>2</v>
      </c>
      <c r="S61" s="188">
        <v>1</v>
      </c>
      <c r="T61" s="188">
        <v>0</v>
      </c>
      <c r="U61" s="188">
        <v>0</v>
      </c>
      <c r="V61" s="188">
        <v>0</v>
      </c>
      <c r="W61" s="189" t="s">
        <v>125</v>
      </c>
      <c r="X61" s="189" t="s">
        <v>125</v>
      </c>
      <c r="Y61" s="189" t="s">
        <v>125</v>
      </c>
      <c r="Z61" s="188">
        <v>1065</v>
      </c>
      <c r="AA61" s="188">
        <v>1065</v>
      </c>
      <c r="AB61" s="188">
        <v>0</v>
      </c>
      <c r="AC61" s="188">
        <v>242141</v>
      </c>
      <c r="AD61" s="188">
        <v>154</v>
      </c>
      <c r="AE61" s="190">
        <v>242295</v>
      </c>
      <c r="AY61" s="192"/>
      <c r="AZ61" s="192"/>
    </row>
    <row r="62" spans="1:52" s="191" customFormat="1" ht="15" customHeight="1">
      <c r="A62" s="187" t="s">
        <v>178</v>
      </c>
      <c r="B62" s="188">
        <v>7309</v>
      </c>
      <c r="C62" s="188">
        <v>54</v>
      </c>
      <c r="D62" s="188">
        <v>2</v>
      </c>
      <c r="E62" s="188">
        <v>43311</v>
      </c>
      <c r="F62" s="188">
        <v>743</v>
      </c>
      <c r="G62" s="188">
        <v>204</v>
      </c>
      <c r="H62" s="188">
        <v>50620</v>
      </c>
      <c r="I62" s="188">
        <v>797</v>
      </c>
      <c r="J62" s="188">
        <v>206</v>
      </c>
      <c r="K62" s="188">
        <v>19999</v>
      </c>
      <c r="L62" s="188">
        <v>96649</v>
      </c>
      <c r="M62" s="188">
        <v>116648</v>
      </c>
      <c r="N62" s="188">
        <v>127</v>
      </c>
      <c r="O62" s="188">
        <v>60</v>
      </c>
      <c r="P62" s="188">
        <v>2078</v>
      </c>
      <c r="Q62" s="188">
        <v>814</v>
      </c>
      <c r="R62" s="188">
        <v>2205</v>
      </c>
      <c r="S62" s="188">
        <v>874</v>
      </c>
      <c r="T62" s="188">
        <v>2</v>
      </c>
      <c r="U62" s="188">
        <v>253</v>
      </c>
      <c r="V62" s="188">
        <v>255</v>
      </c>
      <c r="W62" s="189" t="s">
        <v>125</v>
      </c>
      <c r="X62" s="189" t="s">
        <v>125</v>
      </c>
      <c r="Y62" s="189" t="s">
        <v>125</v>
      </c>
      <c r="Z62" s="188">
        <v>60330</v>
      </c>
      <c r="AA62" s="188">
        <v>60330</v>
      </c>
      <c r="AB62" s="188">
        <v>0</v>
      </c>
      <c r="AC62" s="188">
        <v>16073131</v>
      </c>
      <c r="AD62" s="188">
        <v>125091</v>
      </c>
      <c r="AE62" s="190">
        <v>16198222</v>
      </c>
      <c r="AY62" s="192"/>
      <c r="AZ62" s="192"/>
    </row>
    <row r="63" spans="1:52" s="191" customFormat="1" ht="15" customHeight="1">
      <c r="A63" s="187" t="s">
        <v>179</v>
      </c>
      <c r="B63" s="188">
        <v>274</v>
      </c>
      <c r="C63" s="188">
        <v>1</v>
      </c>
      <c r="D63" s="188">
        <v>0</v>
      </c>
      <c r="E63" s="188">
        <v>2810</v>
      </c>
      <c r="F63" s="188">
        <v>6</v>
      </c>
      <c r="G63" s="188">
        <v>2</v>
      </c>
      <c r="H63" s="188">
        <v>3084</v>
      </c>
      <c r="I63" s="188">
        <v>7</v>
      </c>
      <c r="J63" s="188">
        <v>2</v>
      </c>
      <c r="K63" s="188">
        <v>674</v>
      </c>
      <c r="L63" s="188">
        <v>4657</v>
      </c>
      <c r="M63" s="188">
        <v>5331</v>
      </c>
      <c r="N63" s="188">
        <v>5</v>
      </c>
      <c r="O63" s="188">
        <v>1</v>
      </c>
      <c r="P63" s="188">
        <v>10</v>
      </c>
      <c r="Q63" s="188">
        <v>7</v>
      </c>
      <c r="R63" s="188">
        <v>15</v>
      </c>
      <c r="S63" s="188">
        <v>8</v>
      </c>
      <c r="T63" s="188">
        <v>0</v>
      </c>
      <c r="U63" s="188">
        <v>4</v>
      </c>
      <c r="V63" s="188">
        <v>4</v>
      </c>
      <c r="W63" s="189" t="s">
        <v>125</v>
      </c>
      <c r="X63" s="189" t="s">
        <v>125</v>
      </c>
      <c r="Y63" s="189" t="s">
        <v>125</v>
      </c>
      <c r="Z63" s="188">
        <v>3236</v>
      </c>
      <c r="AA63" s="188">
        <v>3236</v>
      </c>
      <c r="AB63" s="188">
        <v>0</v>
      </c>
      <c r="AC63" s="188">
        <v>711531</v>
      </c>
      <c r="AD63" s="188">
        <v>756</v>
      </c>
      <c r="AE63" s="190">
        <v>712287</v>
      </c>
      <c r="AY63" s="192"/>
      <c r="AZ63" s="192"/>
    </row>
    <row r="64" spans="1:52" s="191" customFormat="1" ht="15" customHeight="1">
      <c r="A64" s="187" t="s">
        <v>180</v>
      </c>
      <c r="B64" s="188">
        <v>2822</v>
      </c>
      <c r="C64" s="188">
        <v>23</v>
      </c>
      <c r="D64" s="188">
        <v>1</v>
      </c>
      <c r="E64" s="188">
        <v>33813</v>
      </c>
      <c r="F64" s="188">
        <v>322</v>
      </c>
      <c r="G64" s="188">
        <v>207</v>
      </c>
      <c r="H64" s="188">
        <v>36635</v>
      </c>
      <c r="I64" s="188">
        <v>345</v>
      </c>
      <c r="J64" s="188">
        <v>208</v>
      </c>
      <c r="K64" s="188">
        <v>7290</v>
      </c>
      <c r="L64" s="188">
        <v>65765</v>
      </c>
      <c r="M64" s="188">
        <v>73055</v>
      </c>
      <c r="N64" s="188">
        <v>40</v>
      </c>
      <c r="O64" s="188">
        <v>30</v>
      </c>
      <c r="P64" s="188">
        <v>774</v>
      </c>
      <c r="Q64" s="188">
        <v>351</v>
      </c>
      <c r="R64" s="188">
        <v>814</v>
      </c>
      <c r="S64" s="188">
        <v>381</v>
      </c>
      <c r="T64" s="188">
        <v>4</v>
      </c>
      <c r="U64" s="188">
        <v>261</v>
      </c>
      <c r="V64" s="188">
        <v>265</v>
      </c>
      <c r="W64" s="189" t="s">
        <v>125</v>
      </c>
      <c r="X64" s="189" t="s">
        <v>125</v>
      </c>
      <c r="Y64" s="189" t="s">
        <v>125</v>
      </c>
      <c r="Z64" s="188">
        <v>43003</v>
      </c>
      <c r="AA64" s="188">
        <v>43003</v>
      </c>
      <c r="AB64" s="188">
        <v>0</v>
      </c>
      <c r="AC64" s="188">
        <v>10054631</v>
      </c>
      <c r="AD64" s="188">
        <v>127221</v>
      </c>
      <c r="AE64" s="190">
        <v>10181852</v>
      </c>
      <c r="AY64" s="192"/>
      <c r="AZ64" s="192"/>
    </row>
    <row r="65" spans="1:52" s="191" customFormat="1" ht="15" customHeight="1">
      <c r="A65" s="187" t="s">
        <v>181</v>
      </c>
      <c r="B65" s="188">
        <v>875</v>
      </c>
      <c r="C65" s="188">
        <v>39</v>
      </c>
      <c r="D65" s="188">
        <v>1</v>
      </c>
      <c r="E65" s="188">
        <v>9315</v>
      </c>
      <c r="F65" s="188">
        <v>154</v>
      </c>
      <c r="G65" s="188">
        <v>56</v>
      </c>
      <c r="H65" s="188">
        <v>10190</v>
      </c>
      <c r="I65" s="188">
        <v>193</v>
      </c>
      <c r="J65" s="188">
        <v>57</v>
      </c>
      <c r="K65" s="188">
        <v>2269</v>
      </c>
      <c r="L65" s="188">
        <v>17216</v>
      </c>
      <c r="M65" s="188">
        <v>19485</v>
      </c>
      <c r="N65" s="188">
        <v>94</v>
      </c>
      <c r="O65" s="188">
        <v>59</v>
      </c>
      <c r="P65" s="188">
        <v>390</v>
      </c>
      <c r="Q65" s="188">
        <v>221</v>
      </c>
      <c r="R65" s="188">
        <v>484</v>
      </c>
      <c r="S65" s="188">
        <v>280</v>
      </c>
      <c r="T65" s="188">
        <v>5</v>
      </c>
      <c r="U65" s="188">
        <v>79</v>
      </c>
      <c r="V65" s="188">
        <v>84</v>
      </c>
      <c r="W65" s="189" t="s">
        <v>125</v>
      </c>
      <c r="X65" s="189" t="s">
        <v>125</v>
      </c>
      <c r="Y65" s="189" t="s">
        <v>125</v>
      </c>
      <c r="Z65" s="188">
        <v>12210</v>
      </c>
      <c r="AA65" s="188">
        <v>12210</v>
      </c>
      <c r="AB65" s="188">
        <v>0</v>
      </c>
      <c r="AC65" s="188">
        <v>2696763</v>
      </c>
      <c r="AD65" s="188">
        <v>43150</v>
      </c>
      <c r="AE65" s="190">
        <v>2739913</v>
      </c>
      <c r="AY65" s="192"/>
      <c r="AZ65" s="192"/>
    </row>
    <row r="66" spans="1:52" s="191" customFormat="1" ht="15" customHeight="1" thickBot="1">
      <c r="A66" s="193" t="s">
        <v>182</v>
      </c>
      <c r="B66" s="194">
        <v>791</v>
      </c>
      <c r="C66" s="194">
        <v>6</v>
      </c>
      <c r="D66" s="194">
        <v>0</v>
      </c>
      <c r="E66" s="194">
        <v>5239</v>
      </c>
      <c r="F66" s="194">
        <v>23</v>
      </c>
      <c r="G66" s="194">
        <v>2</v>
      </c>
      <c r="H66" s="194">
        <v>6030</v>
      </c>
      <c r="I66" s="194">
        <v>29</v>
      </c>
      <c r="J66" s="194">
        <v>2</v>
      </c>
      <c r="K66" s="194">
        <v>2110</v>
      </c>
      <c r="L66" s="194">
        <v>10886</v>
      </c>
      <c r="M66" s="194">
        <v>12996</v>
      </c>
      <c r="N66" s="194">
        <v>16</v>
      </c>
      <c r="O66" s="194">
        <v>7</v>
      </c>
      <c r="P66" s="194">
        <v>71</v>
      </c>
      <c r="Q66" s="194">
        <v>33</v>
      </c>
      <c r="R66" s="194">
        <v>87</v>
      </c>
      <c r="S66" s="194">
        <v>40</v>
      </c>
      <c r="T66" s="194">
        <v>0</v>
      </c>
      <c r="U66" s="194">
        <v>2</v>
      </c>
      <c r="V66" s="194">
        <v>2</v>
      </c>
      <c r="W66" s="195" t="s">
        <v>125</v>
      </c>
      <c r="X66" s="195" t="s">
        <v>125</v>
      </c>
      <c r="Y66" s="195" t="s">
        <v>125</v>
      </c>
      <c r="Z66" s="194">
        <v>6370</v>
      </c>
      <c r="AA66" s="194">
        <v>6370</v>
      </c>
      <c r="AB66" s="194">
        <v>0</v>
      </c>
      <c r="AC66" s="194">
        <v>1784768</v>
      </c>
      <c r="AD66" s="194">
        <v>4505</v>
      </c>
      <c r="AE66" s="196">
        <v>1789273</v>
      </c>
      <c r="AG66" s="197" t="s">
        <v>63</v>
      </c>
      <c r="AY66" s="192"/>
      <c r="AZ66" s="192"/>
    </row>
    <row r="67" spans="1:52" s="191" customFormat="1" ht="15.75" customHeight="1" thickTop="1">
      <c r="A67" s="198" t="s">
        <v>183</v>
      </c>
      <c r="B67" s="199">
        <f>SUBTOTAL(109,Oct16Data[Cell 1])</f>
        <v>257657</v>
      </c>
      <c r="C67" s="199">
        <f>SUBTOTAL(109,Oct16Data[Cell 2])</f>
        <v>4933</v>
      </c>
      <c r="D67" s="199">
        <f>SUBTOTAL(109,Oct16Data[Cell 3])</f>
        <v>332</v>
      </c>
      <c r="E67" s="199">
        <f>SUBTOTAL(109,Oct16Data[Cell 4])</f>
        <v>1767372</v>
      </c>
      <c r="F67" s="199">
        <f>SUBTOTAL(109,Oct16Data[Cell 5])</f>
        <v>20655</v>
      </c>
      <c r="G67" s="199">
        <f>SUBTOTAL(109,Oct16Data[Cell 6])</f>
        <v>10629</v>
      </c>
      <c r="H67" s="199">
        <f>SUBTOTAL(109,Oct16Data[Cell 15])</f>
        <v>2025029</v>
      </c>
      <c r="I67" s="199">
        <f>SUBTOTAL(109,Oct16Data[Cell 16])</f>
        <v>25588</v>
      </c>
      <c r="J67" s="199">
        <f>SUBTOTAL(109,Oct16Data[Cell 17])</f>
        <v>10961</v>
      </c>
      <c r="K67" s="199">
        <f>SUBTOTAL(109,Oct16Data[Cell 7])</f>
        <v>656657</v>
      </c>
      <c r="L67" s="199">
        <f>SUBTOTAL(109,Oct16Data[Cell 8])</f>
        <v>3513640</v>
      </c>
      <c r="M67" s="199">
        <f>SUBTOTAL(109,Oct16Data[Cell 18])</f>
        <v>4170297</v>
      </c>
      <c r="N67" s="199">
        <f>SUBTOTAL(109,Oct16Data[Cell 9])</f>
        <v>10954</v>
      </c>
      <c r="O67" s="199">
        <f>SUBTOTAL(109,Oct16Data[Cell 10])</f>
        <v>6579</v>
      </c>
      <c r="P67" s="199">
        <f>SUBTOTAL(109,Oct16Data[Cell 11])</f>
        <v>49148</v>
      </c>
      <c r="Q67" s="199">
        <f>SUBTOTAL(109,Oct16Data[Cell 12])</f>
        <v>25186</v>
      </c>
      <c r="R67" s="199">
        <f>SUBTOTAL(109,Oct16Data[Cell 19])</f>
        <v>60102</v>
      </c>
      <c r="S67" s="199">
        <f>SUBTOTAL(109,Oct16Data[Cell 20])</f>
        <v>31765</v>
      </c>
      <c r="T67" s="199">
        <f>SUBTOTAL(109,Oct16Data[Cell 13])</f>
        <v>448</v>
      </c>
      <c r="U67" s="199">
        <f>SUBTOTAL(109,Oct16Data[Cell 14])</f>
        <v>13669</v>
      </c>
      <c r="V67" s="199">
        <f>SUBTOTAL(109,Oct16Data[Cell 21])</f>
        <v>14117</v>
      </c>
      <c r="W67" s="200"/>
      <c r="X67" s="200"/>
      <c r="Y67" s="200"/>
      <c r="Z67" s="199">
        <f>SUBTOTAL(109,Oct16Data[Cell 25])</f>
        <v>2225260</v>
      </c>
      <c r="AA67" s="199">
        <f>SUBTOTAL(109,Oct16Data[Cell 26])</f>
        <v>2225260</v>
      </c>
      <c r="AB67" s="199">
        <f>SUBTOTAL(109,Oct16Data[Cell 27])</f>
        <v>0</v>
      </c>
      <c r="AC67" s="199">
        <f>SUBTOTAL(109,Oct16Data[Cell 28])</f>
        <v>588460076</v>
      </c>
      <c r="AD67" s="199">
        <f>SUBTOTAL(109,Oct16Data[Cell 29])</f>
        <v>5509743</v>
      </c>
      <c r="AE67" s="199">
        <f>SUBTOTAL(109,Oct16Data[Cell 30])</f>
        <v>593969819</v>
      </c>
      <c r="AG67" s="201">
        <v>1205065876</v>
      </c>
      <c r="AY67" s="192"/>
      <c r="AZ67" s="192"/>
    </row>
    <row r="68" spans="1:52" s="191" customFormat="1" ht="10.5" customHeight="1">
      <c r="A68" s="202"/>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Y68" s="192"/>
      <c r="AZ68" s="192"/>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326"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37</vt:i4>
      </vt:variant>
    </vt:vector>
  </HeadingPairs>
  <TitlesOfParts>
    <vt:vector size="62" baseType="lpstr">
      <vt:lpstr>Release Summary</vt:lpstr>
      <vt:lpstr>Jul16 Statewide</vt:lpstr>
      <vt:lpstr>Jul16</vt:lpstr>
      <vt:lpstr>Aug16 Statewide</vt:lpstr>
      <vt:lpstr>Aug16</vt:lpstr>
      <vt:lpstr>Sep16 Statewide</vt:lpstr>
      <vt:lpstr>Sep16</vt:lpstr>
      <vt:lpstr>Oct16 Statewide</vt:lpstr>
      <vt:lpstr>Oct16</vt:lpstr>
      <vt:lpstr>Nov16 Statewide</vt:lpstr>
      <vt:lpstr>Nov16</vt:lpstr>
      <vt:lpstr>Dec16 Statewide</vt:lpstr>
      <vt:lpstr>Dec16</vt:lpstr>
      <vt:lpstr>Jan17 Statewide</vt:lpstr>
      <vt:lpstr>Jan17</vt:lpstr>
      <vt:lpstr>Feb17 Statewide</vt:lpstr>
      <vt:lpstr>Feb17</vt:lpstr>
      <vt:lpstr>Mar17 Statewide</vt:lpstr>
      <vt:lpstr>Mar17</vt:lpstr>
      <vt:lpstr>Apr17 Statewide</vt:lpstr>
      <vt:lpstr>Apr17</vt:lpstr>
      <vt:lpstr>May17 Statewide</vt:lpstr>
      <vt:lpstr>May17</vt:lpstr>
      <vt:lpstr>Jun17 Statewide</vt:lpstr>
      <vt:lpstr>Jun17</vt:lpstr>
      <vt:lpstr>'Apr17'!Print_Area</vt:lpstr>
      <vt:lpstr>'Apr17 Statewide'!Print_Area</vt:lpstr>
      <vt:lpstr>'Aug16'!Print_Area</vt:lpstr>
      <vt:lpstr>'Aug16 Statewide'!Print_Area</vt:lpstr>
      <vt:lpstr>'Dec16'!Print_Area</vt:lpstr>
      <vt:lpstr>'Dec16 Statewide'!Print_Area</vt:lpstr>
      <vt:lpstr>'Feb17'!Print_Area</vt:lpstr>
      <vt:lpstr>'Feb17 Statewide'!Print_Area</vt:lpstr>
      <vt:lpstr>'Jan17'!Print_Area</vt:lpstr>
      <vt:lpstr>'Jan17 Statewide'!Print_Area</vt:lpstr>
      <vt:lpstr>'Jul16'!Print_Area</vt:lpstr>
      <vt:lpstr>'Jul16 Statewide'!Print_Area</vt:lpstr>
      <vt:lpstr>'Jun17'!Print_Area</vt:lpstr>
      <vt:lpstr>'Jun17 Statewide'!Print_Area</vt:lpstr>
      <vt:lpstr>'Mar17'!Print_Area</vt:lpstr>
      <vt:lpstr>'Mar17 Statewide'!Print_Area</vt:lpstr>
      <vt:lpstr>'May17'!Print_Area</vt:lpstr>
      <vt:lpstr>'May17 Statewide'!Print_Area</vt:lpstr>
      <vt:lpstr>'Nov16'!Print_Area</vt:lpstr>
      <vt:lpstr>'Nov16 Statewide'!Print_Area</vt:lpstr>
      <vt:lpstr>'Oct16'!Print_Area</vt:lpstr>
      <vt:lpstr>'Oct16 Statewide'!Print_Area</vt:lpstr>
      <vt:lpstr>'Sep16'!Print_Area</vt:lpstr>
      <vt:lpstr>'Sep16 Statewide'!Print_Area</vt:lpstr>
      <vt:lpstr>TitleRegion1.a4.c16.1</vt:lpstr>
      <vt:lpstr>TitleRegion1.a5.ae67.10</vt:lpstr>
      <vt:lpstr>TitleRegion1.a5.ae67.12</vt:lpstr>
      <vt:lpstr>TitleRegion1.a5.ae67.14</vt:lpstr>
      <vt:lpstr>TitleRegion1.a5.ae67.16</vt:lpstr>
      <vt:lpstr>TitleRegion1.a5.ae67.18</vt:lpstr>
      <vt:lpstr>TitleRegion1.a5.ae67.20</vt:lpstr>
      <vt:lpstr>TitleRegion1.a5.ae67.22</vt:lpstr>
      <vt:lpstr>TitleRegion1.a5.ae67.24</vt:lpstr>
      <vt:lpstr>TitleRegion1.a5.ae67.26</vt:lpstr>
      <vt:lpstr>TitleRegion1.a5.ae67.4</vt:lpstr>
      <vt:lpstr>TitleRegion1.a5.ae67.6</vt:lpstr>
      <vt:lpstr>TitleRegion1.a5.ae67.8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 Release DFA256 FY16-17</dc:title>
  <dc:creator>Jacquelyn Alvarez</dc:creator>
  <cp:lastModifiedBy>Jacquelyn Neri</cp:lastModifiedBy>
  <cp:lastPrinted>2018-02-06T15:45:12Z</cp:lastPrinted>
  <dcterms:created xsi:type="dcterms:W3CDTF">2018-02-06T15:36:13Z</dcterms:created>
  <dcterms:modified xsi:type="dcterms:W3CDTF">2018-02-06T15:48:29Z</dcterms:modified>
</cp:coreProperties>
</file>